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49\department\FINANCIAL MARKETS\On-Site Market Surveillance\CONSOLIDATED EXCHANGE RATES\2022\"/>
    </mc:Choice>
  </mc:AlternateContent>
  <bookViews>
    <workbookView xWindow="0" yWindow="0" windowWidth="20490" windowHeight="7755" firstSheet="3" activeTab="7"/>
  </bookViews>
  <sheets>
    <sheet name="JAN_22" sheetId="5" r:id="rId1"/>
    <sheet name="FEB_22" sheetId="6" r:id="rId2"/>
    <sheet name="MAR_22" sheetId="7" r:id="rId3"/>
    <sheet name="APR_22" sheetId="8" r:id="rId4"/>
    <sheet name="MAY_22" sheetId="9" r:id="rId5"/>
    <sheet name="JUN_22" sheetId="10" r:id="rId6"/>
    <sheet name="JUL_22" sheetId="11" r:id="rId7"/>
    <sheet name="AUG_22" sheetId="12" r:id="rId8"/>
    <sheet name="SEPT_22" sheetId="13" r:id="rId9"/>
    <sheet name="OCT_22" sheetId="1" r:id="rId10"/>
    <sheet name="NOV_22" sheetId="4" r:id="rId11"/>
    <sheet name="DEC_22" sheetId="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3" l="1"/>
  <c r="C59" i="13"/>
  <c r="B59" i="13"/>
  <c r="B26" i="13"/>
  <c r="G26" i="13"/>
  <c r="H26" i="13"/>
  <c r="I26" i="13"/>
  <c r="N26" i="13"/>
  <c r="M26" i="13"/>
  <c r="L26" i="13"/>
  <c r="Q26" i="13"/>
  <c r="Q59" i="13"/>
  <c r="Q58" i="13"/>
  <c r="N58" i="13"/>
  <c r="M58" i="13"/>
  <c r="L58" i="13"/>
  <c r="I58" i="13"/>
  <c r="H58" i="13"/>
  <c r="G58" i="13"/>
  <c r="D58" i="13"/>
  <c r="C58" i="13"/>
  <c r="B58" i="13"/>
  <c r="Q57" i="13"/>
  <c r="N57" i="13"/>
  <c r="M57" i="13"/>
  <c r="L57" i="13"/>
  <c r="I57" i="13"/>
  <c r="H57" i="13"/>
  <c r="G57" i="13"/>
  <c r="D57" i="13"/>
  <c r="C57" i="13"/>
  <c r="B57" i="13"/>
  <c r="Q56" i="13"/>
  <c r="N56" i="13"/>
  <c r="N59" i="13" s="1"/>
  <c r="M56" i="13"/>
  <c r="L56" i="13"/>
  <c r="I56" i="13"/>
  <c r="H56" i="13"/>
  <c r="G56" i="13"/>
  <c r="D56" i="13"/>
  <c r="C56" i="13"/>
  <c r="B56" i="13"/>
  <c r="Q55" i="13"/>
  <c r="N55" i="13"/>
  <c r="M55" i="13"/>
  <c r="L55" i="13"/>
  <c r="I55" i="13"/>
  <c r="H55" i="13"/>
  <c r="G55" i="13"/>
  <c r="D55" i="13"/>
  <c r="C55" i="13"/>
  <c r="B55" i="13"/>
  <c r="Q54" i="13"/>
  <c r="N54" i="13"/>
  <c r="M54" i="13"/>
  <c r="L54" i="13"/>
  <c r="I54" i="13"/>
  <c r="H54" i="13"/>
  <c r="G54" i="13"/>
  <c r="D54" i="13"/>
  <c r="C54" i="13"/>
  <c r="B54" i="13"/>
  <c r="Q53" i="13"/>
  <c r="N53" i="13"/>
  <c r="M53" i="13"/>
  <c r="L53" i="13"/>
  <c r="I53" i="13"/>
  <c r="H53" i="13"/>
  <c r="G53" i="13"/>
  <c r="D53" i="13"/>
  <c r="C53" i="13"/>
  <c r="B53" i="13"/>
  <c r="Q52" i="13"/>
  <c r="N52" i="13"/>
  <c r="M52" i="13"/>
  <c r="L52" i="13"/>
  <c r="I52" i="13"/>
  <c r="H52" i="13"/>
  <c r="G52" i="13"/>
  <c r="D52" i="13"/>
  <c r="C52" i="13"/>
  <c r="B52" i="13"/>
  <c r="Q51" i="13"/>
  <c r="N51" i="13"/>
  <c r="M51" i="13"/>
  <c r="L51" i="13"/>
  <c r="I51" i="13"/>
  <c r="H51" i="13"/>
  <c r="G51" i="13"/>
  <c r="D51" i="13"/>
  <c r="C51" i="13"/>
  <c r="B51" i="13"/>
  <c r="Q50" i="13"/>
  <c r="N50" i="13"/>
  <c r="M50" i="13"/>
  <c r="L50" i="13"/>
  <c r="I50" i="13"/>
  <c r="H50" i="13"/>
  <c r="G50" i="13"/>
  <c r="D50" i="13"/>
  <c r="C50" i="13"/>
  <c r="B50" i="13"/>
  <c r="Q49" i="13"/>
  <c r="N49" i="13"/>
  <c r="M49" i="13"/>
  <c r="L49" i="13"/>
  <c r="I49" i="13"/>
  <c r="H49" i="13"/>
  <c r="G49" i="13"/>
  <c r="D49" i="13"/>
  <c r="C49" i="13"/>
  <c r="B49" i="13"/>
  <c r="Q48" i="13"/>
  <c r="N48" i="13"/>
  <c r="M48" i="13"/>
  <c r="L48" i="13"/>
  <c r="I48" i="13"/>
  <c r="H48" i="13"/>
  <c r="G48" i="13"/>
  <c r="D48" i="13"/>
  <c r="C48" i="13"/>
  <c r="B48" i="13"/>
  <c r="Q47" i="13"/>
  <c r="N47" i="13"/>
  <c r="M47" i="13"/>
  <c r="L47" i="13"/>
  <c r="I47" i="13"/>
  <c r="H47" i="13"/>
  <c r="G47" i="13"/>
  <c r="D47" i="13"/>
  <c r="C47" i="13"/>
  <c r="B47" i="13"/>
  <c r="Q46" i="13"/>
  <c r="N46" i="13"/>
  <c r="M46" i="13"/>
  <c r="L46" i="13"/>
  <c r="I46" i="13"/>
  <c r="H46" i="13"/>
  <c r="G46" i="13"/>
  <c r="D46" i="13"/>
  <c r="C46" i="13"/>
  <c r="B46" i="13"/>
  <c r="Q45" i="13"/>
  <c r="N45" i="13"/>
  <c r="M45" i="13"/>
  <c r="L45" i="13"/>
  <c r="I45" i="13"/>
  <c r="H45" i="13"/>
  <c r="G45" i="13"/>
  <c r="D45" i="13"/>
  <c r="C45" i="13"/>
  <c r="B45" i="13"/>
  <c r="Q44" i="13"/>
  <c r="N44" i="13"/>
  <c r="M44" i="13"/>
  <c r="L44" i="13"/>
  <c r="I44" i="13"/>
  <c r="H44" i="13"/>
  <c r="G44" i="13"/>
  <c r="D44" i="13"/>
  <c r="C44" i="13"/>
  <c r="B44" i="13"/>
  <c r="Q43" i="13"/>
  <c r="N43" i="13"/>
  <c r="M43" i="13"/>
  <c r="L43" i="13"/>
  <c r="I43" i="13"/>
  <c r="H43" i="13"/>
  <c r="G43" i="13"/>
  <c r="D43" i="13"/>
  <c r="C43" i="13"/>
  <c r="B43" i="13"/>
  <c r="Q42" i="13"/>
  <c r="N42" i="13"/>
  <c r="M42" i="13"/>
  <c r="L42" i="13"/>
  <c r="I42" i="13"/>
  <c r="H42" i="13"/>
  <c r="G42" i="13"/>
  <c r="D42" i="13"/>
  <c r="C42" i="13"/>
  <c r="B42" i="13"/>
  <c r="Q41" i="13"/>
  <c r="N41" i="13"/>
  <c r="M41" i="13"/>
  <c r="L41" i="13"/>
  <c r="I41" i="13"/>
  <c r="H41" i="13"/>
  <c r="G41" i="13"/>
  <c r="D41" i="13"/>
  <c r="C41" i="13"/>
  <c r="B41" i="13"/>
  <c r="Q40" i="13"/>
  <c r="N40" i="13"/>
  <c r="M40" i="13"/>
  <c r="L40" i="13"/>
  <c r="I40" i="13"/>
  <c r="H40" i="13"/>
  <c r="H59" i="13" s="1"/>
  <c r="G40" i="13"/>
  <c r="D40" i="13"/>
  <c r="C40" i="13"/>
  <c r="B40" i="13"/>
  <c r="Q39" i="13"/>
  <c r="N39" i="13"/>
  <c r="M39" i="13"/>
  <c r="L39" i="13"/>
  <c r="I39" i="13"/>
  <c r="H39" i="13"/>
  <c r="G39" i="13"/>
  <c r="D39" i="13"/>
  <c r="C39" i="13"/>
  <c r="B39" i="13"/>
  <c r="Q38" i="13"/>
  <c r="N38" i="13"/>
  <c r="M38" i="13"/>
  <c r="L38" i="13"/>
  <c r="I38" i="13"/>
  <c r="H38" i="13"/>
  <c r="G38" i="13"/>
  <c r="D38" i="13"/>
  <c r="C38" i="13"/>
  <c r="B38" i="13"/>
  <c r="Q37" i="13"/>
  <c r="N37" i="13"/>
  <c r="M37" i="13"/>
  <c r="L37" i="13"/>
  <c r="I37" i="13"/>
  <c r="H37" i="13"/>
  <c r="G37" i="13"/>
  <c r="D37" i="13"/>
  <c r="C37" i="13"/>
  <c r="B37" i="13"/>
  <c r="M59" i="13"/>
  <c r="L59" i="13"/>
  <c r="I59" i="13"/>
  <c r="G59" i="13"/>
  <c r="D26" i="13"/>
  <c r="C26" i="13"/>
  <c r="C61" i="12"/>
  <c r="D61" i="12"/>
  <c r="B61" i="12"/>
  <c r="H61" i="12"/>
  <c r="I61" i="12"/>
  <c r="G61" i="12"/>
  <c r="N61" i="12"/>
  <c r="M61" i="12"/>
  <c r="L61" i="12"/>
  <c r="Q61" i="12"/>
  <c r="L27" i="12"/>
  <c r="G27" i="12"/>
  <c r="N27" i="12"/>
  <c r="Q27" i="12"/>
  <c r="Q24" i="11"/>
  <c r="M27" i="12"/>
  <c r="I27" i="12"/>
  <c r="H27" i="12"/>
  <c r="D27" i="12"/>
  <c r="C27" i="12"/>
  <c r="B27" i="12"/>
  <c r="Q54" i="11"/>
  <c r="M54" i="11"/>
  <c r="N54" i="11"/>
  <c r="L54" i="11"/>
  <c r="H54" i="11"/>
  <c r="I54" i="11"/>
  <c r="G54" i="11"/>
  <c r="C54" i="11"/>
  <c r="D54" i="11"/>
  <c r="B54" i="11"/>
  <c r="M24" i="11"/>
  <c r="N24" i="11"/>
  <c r="L24" i="11"/>
  <c r="H24" i="11"/>
  <c r="I24" i="11"/>
  <c r="G24" i="11"/>
  <c r="C24" i="11"/>
  <c r="D24" i="11"/>
  <c r="B24" i="11"/>
  <c r="Q26" i="10"/>
  <c r="N26" i="10"/>
  <c r="M26" i="10"/>
  <c r="L26" i="10"/>
  <c r="H26" i="10"/>
  <c r="I26" i="10"/>
  <c r="G26" i="10"/>
  <c r="D26" i="10"/>
  <c r="C26" i="10"/>
  <c r="B26" i="10"/>
  <c r="Q26" i="9"/>
  <c r="M26" i="9"/>
  <c r="N26" i="9"/>
  <c r="L26" i="9"/>
  <c r="H26" i="9"/>
  <c r="I26" i="9"/>
  <c r="G26" i="9"/>
  <c r="C26" i="9"/>
  <c r="D26" i="9"/>
  <c r="B26" i="9"/>
  <c r="B25" i="8"/>
  <c r="Q25" i="8"/>
  <c r="Q27" i="7"/>
  <c r="M27" i="7"/>
  <c r="N27" i="7"/>
  <c r="L27" i="7"/>
  <c r="H27" i="7"/>
  <c r="I27" i="7"/>
  <c r="G27" i="7"/>
  <c r="C27" i="7"/>
  <c r="D27" i="7"/>
  <c r="B27" i="7"/>
  <c r="M25" i="8"/>
  <c r="N25" i="8"/>
  <c r="L25" i="8"/>
  <c r="H25" i="8"/>
  <c r="I25" i="8"/>
  <c r="G25" i="8"/>
  <c r="C25" i="8"/>
  <c r="D25" i="8"/>
  <c r="Q24" i="6"/>
  <c r="N24" i="6"/>
  <c r="M24" i="6"/>
  <c r="L24" i="6"/>
  <c r="I24" i="6"/>
  <c r="H24" i="6"/>
  <c r="G24" i="6"/>
  <c r="D24" i="6"/>
  <c r="C24" i="6"/>
  <c r="B24" i="6"/>
  <c r="Q24" i="5"/>
  <c r="N24" i="5"/>
  <c r="M24" i="5"/>
  <c r="L24" i="5"/>
  <c r="I24" i="5"/>
  <c r="H24" i="5"/>
  <c r="G24" i="5"/>
  <c r="D24" i="5"/>
  <c r="C24" i="5"/>
  <c r="B24" i="5"/>
  <c r="D24" i="1" l="1"/>
  <c r="Q56" i="4" l="1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57" i="4" s="1"/>
  <c r="Q26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M48" i="4"/>
  <c r="L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N57" i="4" s="1"/>
  <c r="M35" i="4"/>
  <c r="M57" i="4" s="1"/>
  <c r="L35" i="4"/>
  <c r="L57" i="4" s="1"/>
  <c r="N26" i="4"/>
  <c r="M26" i="4"/>
  <c r="L26" i="4"/>
  <c r="I56" i="4"/>
  <c r="H56" i="4"/>
  <c r="G56" i="4"/>
  <c r="I55" i="4"/>
  <c r="H55" i="4"/>
  <c r="G55" i="4"/>
  <c r="I54" i="4"/>
  <c r="H54" i="4"/>
  <c r="G54" i="4"/>
  <c r="I53" i="4"/>
  <c r="H53" i="4"/>
  <c r="G53" i="4"/>
  <c r="I52" i="4"/>
  <c r="H52" i="4"/>
  <c r="G52" i="4"/>
  <c r="I51" i="4"/>
  <c r="H51" i="4"/>
  <c r="G51" i="4"/>
  <c r="I50" i="4"/>
  <c r="H50" i="4"/>
  <c r="G50" i="4"/>
  <c r="I49" i="4"/>
  <c r="H49" i="4"/>
  <c r="G49" i="4"/>
  <c r="I48" i="4"/>
  <c r="H48" i="4"/>
  <c r="G48" i="4"/>
  <c r="I47" i="4"/>
  <c r="H47" i="4"/>
  <c r="G47" i="4"/>
  <c r="I46" i="4"/>
  <c r="H46" i="4"/>
  <c r="G46" i="4"/>
  <c r="I45" i="4"/>
  <c r="H45" i="4"/>
  <c r="G45" i="4"/>
  <c r="I44" i="4"/>
  <c r="H44" i="4"/>
  <c r="G44" i="4"/>
  <c r="I43" i="4"/>
  <c r="H43" i="4"/>
  <c r="G43" i="4"/>
  <c r="I42" i="4"/>
  <c r="H42" i="4"/>
  <c r="G42" i="4"/>
  <c r="I41" i="4"/>
  <c r="H41" i="4"/>
  <c r="G41" i="4"/>
  <c r="I40" i="4"/>
  <c r="H40" i="4"/>
  <c r="G40" i="4"/>
  <c r="I39" i="4"/>
  <c r="H39" i="4"/>
  <c r="G39" i="4"/>
  <c r="I38" i="4"/>
  <c r="H38" i="4"/>
  <c r="G38" i="4"/>
  <c r="I37" i="4"/>
  <c r="H37" i="4"/>
  <c r="G37" i="4"/>
  <c r="I36" i="4"/>
  <c r="H36" i="4"/>
  <c r="G36" i="4"/>
  <c r="I35" i="4"/>
  <c r="I57" i="4" s="1"/>
  <c r="H35" i="4"/>
  <c r="H57" i="4" s="1"/>
  <c r="G35" i="4"/>
  <c r="G57" i="4" s="1"/>
  <c r="I26" i="4"/>
  <c r="H26" i="4"/>
  <c r="G26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D57" i="4" s="1"/>
  <c r="C35" i="4"/>
  <c r="C57" i="4" s="1"/>
  <c r="B35" i="4"/>
  <c r="B57" i="4" s="1"/>
  <c r="D26" i="4"/>
  <c r="C26" i="4"/>
  <c r="B26" i="4"/>
  <c r="Q56" i="3" l="1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25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N50" i="3"/>
  <c r="M50" i="3"/>
  <c r="L50" i="3"/>
  <c r="N49" i="3"/>
  <c r="M49" i="3"/>
  <c r="L49" i="3"/>
  <c r="N48" i="3"/>
  <c r="M48" i="3"/>
  <c r="L48" i="3"/>
  <c r="N47" i="3"/>
  <c r="M47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2" i="3"/>
  <c r="M42" i="3"/>
  <c r="L42" i="3"/>
  <c r="N41" i="3"/>
  <c r="M41" i="3"/>
  <c r="L41" i="3"/>
  <c r="N40" i="3"/>
  <c r="M40" i="3"/>
  <c r="L40" i="3"/>
  <c r="N39" i="3"/>
  <c r="M39" i="3"/>
  <c r="L39" i="3"/>
  <c r="N38" i="3"/>
  <c r="M38" i="3"/>
  <c r="L38" i="3"/>
  <c r="N37" i="3"/>
  <c r="M37" i="3"/>
  <c r="L37" i="3"/>
  <c r="N36" i="3"/>
  <c r="M36" i="3"/>
  <c r="M57" i="3" s="1"/>
  <c r="L36" i="3"/>
  <c r="L57" i="3" s="1"/>
  <c r="N25" i="3"/>
  <c r="M25" i="3"/>
  <c r="L25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H37" i="3"/>
  <c r="G37" i="3"/>
  <c r="I36" i="3"/>
  <c r="I57" i="3" s="1"/>
  <c r="H36" i="3"/>
  <c r="H57" i="3" s="1"/>
  <c r="G36" i="3"/>
  <c r="G57" i="3" s="1"/>
  <c r="I25" i="3"/>
  <c r="H25" i="3"/>
  <c r="G25" i="3"/>
  <c r="N57" i="3" l="1"/>
  <c r="Q57" i="3"/>
  <c r="Q54" i="1" l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55" i="1" s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N55" i="1" s="1"/>
  <c r="M35" i="1"/>
  <c r="M55" i="1" s="1"/>
  <c r="L35" i="1"/>
  <c r="L55" i="1" s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I55" i="1" s="1"/>
  <c r="H35" i="1"/>
  <c r="H55" i="1" s="1"/>
  <c r="G35" i="1"/>
  <c r="G55" i="1" s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D55" i="1" s="1"/>
  <c r="C35" i="1"/>
  <c r="C55" i="1" s="1"/>
  <c r="B35" i="1"/>
  <c r="B55" i="1" s="1"/>
  <c r="Q24" i="1"/>
  <c r="N24" i="1"/>
  <c r="M24" i="1"/>
  <c r="L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<sst xmlns="http://schemas.openxmlformats.org/spreadsheetml/2006/main" count="586" uniqueCount="72">
  <si>
    <t>BSL EXCHANGE RATES - OCTOBER 2022</t>
  </si>
  <si>
    <t>Date/Period</t>
  </si>
  <si>
    <t>SLL/USD EXCHANGE RATES</t>
  </si>
  <si>
    <t xml:space="preserve">Buying </t>
  </si>
  <si>
    <t>Selling</t>
  </si>
  <si>
    <t>Mid Rate</t>
  </si>
  <si>
    <t>AVG</t>
  </si>
  <si>
    <t>SLL/EUR EXCHANGE RATES</t>
  </si>
  <si>
    <t>SLL/GBP EXCHANGE RATES</t>
  </si>
  <si>
    <t>SLL/SDR EXCHANGE RATES - OCTOBER 2022</t>
  </si>
  <si>
    <t>PERIOD</t>
  </si>
  <si>
    <t>EXCHANGE RATES</t>
  </si>
  <si>
    <t>Market Surveillance</t>
  </si>
  <si>
    <t xml:space="preserve">Financial markets Department </t>
  </si>
  <si>
    <t>Bank of Sierra Leone</t>
  </si>
  <si>
    <t>BSL EXCHANGE RATES - NOVEMBER 2022</t>
  </si>
  <si>
    <t>SLL/SDR EXCHANGE RATES - NOVEMBER 2022</t>
  </si>
  <si>
    <t>BSL EXCHANGE RATES - DECEMBER 2022</t>
  </si>
  <si>
    <t>SLL/SDR EXCHANGE RATES - DECEMBER 2022</t>
  </si>
  <si>
    <t>Financial Markets Department</t>
  </si>
  <si>
    <t>BSL EXCHANGE RATES - JANUARY 2022</t>
  </si>
  <si>
    <t>SLL/SDR EXCHANGE RATES - JANUARY 2022</t>
  </si>
  <si>
    <t>Buying</t>
  </si>
  <si>
    <t xml:space="preserve">AVG </t>
  </si>
  <si>
    <r>
      <rPr>
        <b/>
        <sz val="11"/>
        <rFont val="Calibri"/>
        <family val="1"/>
      </rPr>
      <t>Date/Period</t>
    </r>
  </si>
  <si>
    <r>
      <rPr>
        <b/>
        <sz val="11"/>
        <rFont val="Calibri"/>
        <family val="1"/>
      </rPr>
      <t>SLL/USD EXCHANGE RATES</t>
    </r>
  </si>
  <si>
    <r>
      <rPr>
        <b/>
        <sz val="11"/>
        <rFont val="Calibri"/>
        <family val="1"/>
      </rPr>
      <t>SLL/EUR EXCHANGE RATES</t>
    </r>
  </si>
  <si>
    <r>
      <rPr>
        <b/>
        <sz val="11"/>
        <rFont val="Calibri"/>
        <family val="1"/>
      </rPr>
      <t>Buying</t>
    </r>
  </si>
  <si>
    <r>
      <rPr>
        <b/>
        <sz val="11"/>
        <rFont val="Calibri"/>
        <family val="1"/>
      </rPr>
      <t>Selling</t>
    </r>
  </si>
  <si>
    <r>
      <rPr>
        <b/>
        <sz val="11"/>
        <rFont val="Calibri"/>
        <family val="1"/>
      </rPr>
      <t>Mid Rate</t>
    </r>
  </si>
  <si>
    <r>
      <rPr>
        <b/>
        <sz val="11"/>
        <rFont val="Calibri"/>
        <family val="1"/>
      </rPr>
      <t>PUBLIC HOLIDAY</t>
    </r>
  </si>
  <si>
    <r>
      <rPr>
        <b/>
        <sz val="11"/>
        <rFont val="Calibri"/>
        <family val="1"/>
      </rPr>
      <t>AVG</t>
    </r>
  </si>
  <si>
    <r>
      <rPr>
        <b/>
        <sz val="12"/>
        <rFont val="Calibri"/>
        <family val="1"/>
      </rPr>
      <t>AVG</t>
    </r>
  </si>
  <si>
    <r>
      <rPr>
        <b/>
        <sz val="11"/>
        <rFont val="Calibri"/>
        <family val="1"/>
      </rPr>
      <t>SLL/GBP EXCHANGE RATES</t>
    </r>
  </si>
  <si>
    <r>
      <rPr>
        <b/>
        <sz val="11"/>
        <rFont val="Calibri"/>
        <family val="1"/>
      </rPr>
      <t>PERIOD</t>
    </r>
  </si>
  <si>
    <r>
      <rPr>
        <b/>
        <sz val="11"/>
        <rFont val="Calibri"/>
        <family val="1"/>
      </rPr>
      <t xml:space="preserve">SLL/SDR EXCHANGE
</t>
    </r>
    <r>
      <rPr>
        <b/>
        <sz val="11"/>
        <rFont val="Calibri"/>
        <family val="1"/>
      </rPr>
      <t>RATES</t>
    </r>
  </si>
  <si>
    <r>
      <rPr>
        <b/>
        <sz val="11"/>
        <rFont val="Calibri"/>
        <family val="1"/>
      </rPr>
      <t>HOLIDAY</t>
    </r>
  </si>
  <si>
    <t>BSL EXCHANGE RATES - FEBRUARY 2022</t>
  </si>
  <si>
    <t>SLL/SDR EXCHANGE RATES - FEBRUARY 2022</t>
  </si>
  <si>
    <r>
      <rPr>
        <sz val="11"/>
        <rFont val="Calibri"/>
        <family val="1"/>
      </rPr>
      <t>PUBLIC HOLIDAY</t>
    </r>
  </si>
  <si>
    <r>
      <rPr>
        <b/>
        <sz val="11"/>
        <rFont val="Calibri"/>
        <family val="1"/>
      </rPr>
      <t xml:space="preserve">SLL/SDR
</t>
    </r>
    <r>
      <rPr>
        <b/>
        <sz val="11"/>
        <rFont val="Calibri"/>
        <family val="1"/>
      </rPr>
      <t>EXCHANGE RATES</t>
    </r>
  </si>
  <si>
    <r>
      <rPr>
        <sz val="11"/>
        <rFont val="Calibri"/>
        <family val="1"/>
      </rPr>
      <t>HOLIDAY</t>
    </r>
  </si>
  <si>
    <t>BSL EXCHANGE RATES - MARCH 2022</t>
  </si>
  <si>
    <t>SLL/SDR EXCHANGE RATES - MARCH 2022</t>
  </si>
  <si>
    <t>BSL EXCHANGE RATES - APRIL 2022</t>
  </si>
  <si>
    <t>BSL EXCHANGE RATES -APRIL 2022</t>
  </si>
  <si>
    <t>SLL/SDR EXCHANGE RATES - APRIL 2022</t>
  </si>
  <si>
    <t>BSL EXCHANGE RATES - MAY 2022</t>
  </si>
  <si>
    <t>BSL EXCHANGE RATES -MAY 2022</t>
  </si>
  <si>
    <t>SLL/SDR EXCHANGE RATES - MAY 2022</t>
  </si>
  <si>
    <r>
      <rPr>
        <b/>
        <sz val="11"/>
        <rFont val="Calibri"/>
        <family val="1"/>
      </rPr>
      <t>BSL SLL/USD EXCHANGE RATES - JUNE 2022</t>
    </r>
  </si>
  <si>
    <r>
      <rPr>
        <b/>
        <sz val="11"/>
        <rFont val="Calibri"/>
        <family val="1"/>
      </rPr>
      <t>BSL SLL/EUR EXCHANGE RATES - JUNE 2022</t>
    </r>
  </si>
  <si>
    <r>
      <rPr>
        <b/>
        <sz val="11"/>
        <rFont val="Calibri"/>
        <family val="1"/>
      </rPr>
      <t>BSL SLL/GBP EXCHANGE RATES - JUNE 2022</t>
    </r>
  </si>
  <si>
    <r>
      <rPr>
        <b/>
        <sz val="11"/>
        <rFont val="Calibri"/>
        <family val="1"/>
      </rPr>
      <t xml:space="preserve">SLL/SDR EXCHANGE RATE -
</t>
    </r>
    <r>
      <rPr>
        <b/>
        <sz val="11"/>
        <rFont val="Calibri"/>
        <family val="1"/>
      </rPr>
      <t>JUNE 2022</t>
    </r>
  </si>
  <si>
    <t>BANK HOLIDAY</t>
  </si>
  <si>
    <t>HOLIDAY</t>
  </si>
  <si>
    <r>
      <rPr>
        <b/>
        <sz val="12"/>
        <rFont val="Calibri"/>
        <family val="1"/>
      </rPr>
      <t>BSL SLL/USD EXCHANGE RATES - JULY 2022</t>
    </r>
  </si>
  <si>
    <r>
      <rPr>
        <b/>
        <sz val="12"/>
        <rFont val="Calibri"/>
        <family val="1"/>
      </rPr>
      <t>BSL SLL/EUR EXCHANGE RATES - JULY 2022</t>
    </r>
  </si>
  <si>
    <r>
      <rPr>
        <b/>
        <sz val="12"/>
        <rFont val="Times New Roman"/>
        <family val="1"/>
      </rPr>
      <t>AVG</t>
    </r>
  </si>
  <si>
    <r>
      <rPr>
        <b/>
        <sz val="12"/>
        <rFont val="Calibri"/>
        <family val="1"/>
      </rPr>
      <t>BSL SLL/GBP EXCHANGE RATES - JULY 2022</t>
    </r>
  </si>
  <si>
    <r>
      <rPr>
        <b/>
        <sz val="11"/>
        <rFont val="Calibri"/>
        <family val="1"/>
      </rPr>
      <t>SLL/SDR EXCHANGE RATE - JULY 2022</t>
    </r>
  </si>
  <si>
    <r>
      <rPr>
        <b/>
        <sz val="13"/>
        <rFont val="Calibri"/>
        <family val="1"/>
      </rPr>
      <t>Date/Period</t>
    </r>
  </si>
  <si>
    <t>BSL SLL/USD EXCHANGE RATES - AUGUST 2022</t>
  </si>
  <si>
    <t>BSL SLL/EUR EXCHANGE RATES - AUGUST 2022</t>
  </si>
  <si>
    <t>BSL SLL/GBP EXCHANGE RATES - AUGUST 2022</t>
  </si>
  <si>
    <r>
      <rPr>
        <b/>
        <sz val="11"/>
        <rFont val="Calibri"/>
        <family val="1"/>
      </rPr>
      <t>EXCHANGE RATES</t>
    </r>
  </si>
  <si>
    <t>SLL/SDR EXCHANGE RATE - AUGUST 2022</t>
  </si>
  <si>
    <r>
      <rPr>
        <b/>
        <sz val="13.5"/>
        <rFont val="Times New Roman"/>
        <family val="1"/>
      </rPr>
      <t>AVG</t>
    </r>
  </si>
  <si>
    <t>EXCHANGE RATES
RATES</t>
  </si>
  <si>
    <r>
      <rPr>
        <b/>
        <sz val="15.5"/>
        <rFont val="Calibri"/>
        <family val="1"/>
      </rPr>
      <t>AVG</t>
    </r>
  </si>
  <si>
    <t>BSL EXCHANGE RATES - SEPTEMBER 2022</t>
  </si>
  <si>
    <t>SLL/SDR EXCHANGE RATES -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</si>
</sst>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0.0000"/>
    <numFmt numFmtId="166" formatCode="d\-mmm\-yy;@"/>
    <numFmt numFmtId="167" formatCode="d\-m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1"/>
    </font>
    <font>
      <sz val="11"/>
      <name val="Calibri"/>
      <family val="2"/>
    </font>
    <font>
      <sz val="11"/>
      <name val="Calibri"/>
      <family val="1"/>
    </font>
    <font>
      <sz val="11"/>
      <color rgb="FF000000"/>
      <name val="Times New Roman"/>
      <family val="2"/>
    </font>
    <font>
      <b/>
      <sz val="12"/>
      <name val="Times New Roman"/>
      <family val="1"/>
    </font>
    <font>
      <b/>
      <sz val="13"/>
      <name val="Calibri"/>
      <family val="1"/>
    </font>
    <font>
      <b/>
      <sz val="13.5"/>
      <name val="Times New Roman"/>
      <family val="1"/>
    </font>
    <font>
      <b/>
      <sz val="15.5"/>
      <name val="Calibri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2" xfId="0" applyFont="1" applyBorder="1"/>
    <xf numFmtId="164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2" fillId="0" borderId="3" xfId="0" applyFont="1" applyBorder="1"/>
    <xf numFmtId="165" fontId="2" fillId="0" borderId="1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0" borderId="1" xfId="0" applyFont="1" applyBorder="1" applyAlignment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2" fillId="0" borderId="13" xfId="0" applyFont="1" applyBorder="1"/>
    <xf numFmtId="43" fontId="0" fillId="0" borderId="8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0" fillId="0" borderId="19" xfId="1" applyFont="1" applyBorder="1" applyAlignment="1"/>
    <xf numFmtId="43" fontId="0" fillId="0" borderId="20" xfId="1" applyFont="1" applyBorder="1" applyAlignment="1"/>
    <xf numFmtId="43" fontId="0" fillId="0" borderId="7" xfId="1" applyFont="1" applyBorder="1" applyAlignment="1"/>
    <xf numFmtId="43" fontId="0" fillId="0" borderId="10" xfId="1" applyFont="1" applyBorder="1" applyAlignment="1"/>
    <xf numFmtId="43" fontId="0" fillId="0" borderId="11" xfId="1" applyFont="1" applyBorder="1" applyAlignment="1"/>
    <xf numFmtId="43" fontId="0" fillId="0" borderId="12" xfId="1" applyFont="1" applyBorder="1" applyAlignment="1"/>
    <xf numFmtId="164" fontId="0" fillId="0" borderId="21" xfId="0" applyNumberForma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0" fontId="2" fillId="0" borderId="24" xfId="0" applyFont="1" applyBorder="1"/>
    <xf numFmtId="43" fontId="2" fillId="0" borderId="15" xfId="1" applyFont="1" applyBorder="1" applyAlignment="1">
      <alignment horizontal="center"/>
    </xf>
    <xf numFmtId="43" fontId="2" fillId="0" borderId="25" xfId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0" fontId="2" fillId="0" borderId="15" xfId="0" applyFont="1" applyBorder="1"/>
    <xf numFmtId="43" fontId="2" fillId="0" borderId="27" xfId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 applyAlignment="1"/>
    <xf numFmtId="164" fontId="0" fillId="0" borderId="28" xfId="0" applyNumberFormat="1" applyBorder="1" applyAlignment="1">
      <alignment horizontal="center"/>
    </xf>
    <xf numFmtId="0" fontId="2" fillId="0" borderId="0" xfId="0" applyFont="1" applyBorder="1"/>
    <xf numFmtId="0" fontId="0" fillId="0" borderId="0" xfId="0"/>
    <xf numFmtId="0" fontId="0" fillId="0" borderId="0" xfId="0"/>
    <xf numFmtId="0" fontId="2" fillId="0" borderId="2" xfId="0" applyFont="1" applyBorder="1"/>
    <xf numFmtId="164" fontId="0" fillId="0" borderId="7" xfId="0" applyNumberFormat="1" applyBorder="1" applyAlignment="1">
      <alignment horizontal="center"/>
    </xf>
    <xf numFmtId="0" fontId="2" fillId="0" borderId="3" xfId="0" applyFont="1" applyBorder="1"/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0" fillId="0" borderId="26" xfId="1" applyFont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8" xfId="1" applyFont="1" applyBorder="1" applyAlignment="1"/>
    <xf numFmtId="43" fontId="0" fillId="0" borderId="9" xfId="1" applyFont="1" applyBorder="1" applyAlignment="1"/>
    <xf numFmtId="43" fontId="0" fillId="0" borderId="22" xfId="1" applyFont="1" applyBorder="1" applyAlignment="1"/>
    <xf numFmtId="43" fontId="0" fillId="0" borderId="23" xfId="1" applyFont="1" applyBorder="1" applyAlignment="1"/>
    <xf numFmtId="4" fontId="0" fillId="0" borderId="9" xfId="0" applyNumberFormat="1" applyBorder="1"/>
    <xf numFmtId="4" fontId="0" fillId="0" borderId="10" xfId="0" applyNumberFormat="1" applyBorder="1"/>
    <xf numFmtId="4" fontId="0" fillId="0" borderId="23" xfId="0" applyNumberFormat="1" applyBorder="1"/>
    <xf numFmtId="0" fontId="4" fillId="0" borderId="37" xfId="0" applyFont="1" applyFill="1" applyBorder="1" applyAlignment="1">
      <alignment horizontal="center" vertical="top" wrapText="1"/>
    </xf>
    <xf numFmtId="166" fontId="6" fillId="0" borderId="37" xfId="0" applyNumberFormat="1" applyFont="1" applyFill="1" applyBorder="1" applyAlignment="1">
      <alignment horizontal="center" vertical="top" shrinkToFit="1"/>
    </xf>
    <xf numFmtId="4" fontId="6" fillId="0" borderId="37" xfId="0" applyNumberFormat="1" applyFont="1" applyFill="1" applyBorder="1" applyAlignment="1">
      <alignment horizontal="center" vertical="top" shrinkToFit="1"/>
    </xf>
    <xf numFmtId="166" fontId="7" fillId="0" borderId="37" xfId="0" applyNumberFormat="1" applyFont="1" applyFill="1" applyBorder="1" applyAlignment="1">
      <alignment horizontal="right" vertical="top" indent="1" shrinkToFit="1"/>
    </xf>
    <xf numFmtId="166" fontId="8" fillId="0" borderId="37" xfId="0" applyNumberFormat="1" applyFont="1" applyFill="1" applyBorder="1" applyAlignment="1">
      <alignment horizontal="center" vertical="top" shrinkToFit="1"/>
    </xf>
    <xf numFmtId="166" fontId="9" fillId="0" borderId="37" xfId="0" applyNumberFormat="1" applyFont="1" applyFill="1" applyBorder="1" applyAlignment="1">
      <alignment horizontal="right" vertical="top" indent="1" shrinkToFit="1"/>
    </xf>
    <xf numFmtId="0" fontId="4" fillId="0" borderId="34" xfId="0" applyFont="1" applyFill="1" applyBorder="1" applyAlignment="1">
      <alignment horizontal="center" vertical="top" wrapText="1"/>
    </xf>
    <xf numFmtId="4" fontId="8" fillId="0" borderId="37" xfId="0" applyNumberFormat="1" applyFont="1" applyFill="1" applyBorder="1" applyAlignment="1">
      <alignment horizontal="center" vertical="top" shrinkToFit="1"/>
    </xf>
    <xf numFmtId="0" fontId="10" fillId="0" borderId="37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 indent="3"/>
    </xf>
    <xf numFmtId="0" fontId="4" fillId="0" borderId="37" xfId="0" applyFont="1" applyFill="1" applyBorder="1" applyAlignment="1">
      <alignment horizontal="left" vertical="top" wrapText="1" indent="2"/>
    </xf>
    <xf numFmtId="4" fontId="6" fillId="0" borderId="37" xfId="0" applyNumberFormat="1" applyFont="1" applyFill="1" applyBorder="1" applyAlignment="1">
      <alignment horizontal="left" vertical="top" indent="2" shrinkToFit="1"/>
    </xf>
    <xf numFmtId="4" fontId="8" fillId="0" borderId="37" xfId="0" applyNumberFormat="1" applyFont="1" applyFill="1" applyBorder="1" applyAlignment="1">
      <alignment horizontal="left" vertical="top" indent="2" shrinkToFit="1"/>
    </xf>
    <xf numFmtId="0" fontId="4" fillId="0" borderId="37" xfId="0" applyFont="1" applyFill="1" applyBorder="1" applyAlignment="1">
      <alignment horizontal="left" vertical="top" wrapText="1" indent="1"/>
    </xf>
    <xf numFmtId="4" fontId="6" fillId="0" borderId="37" xfId="0" applyNumberFormat="1" applyFont="1" applyFill="1" applyBorder="1" applyAlignment="1">
      <alignment horizontal="left" vertical="top" shrinkToFit="1"/>
    </xf>
    <xf numFmtId="166" fontId="6" fillId="0" borderId="37" xfId="0" applyNumberFormat="1" applyFont="1" applyFill="1" applyBorder="1" applyAlignment="1">
      <alignment horizontal="left" vertical="top" indent="1" shrinkToFit="1"/>
    </xf>
    <xf numFmtId="166" fontId="8" fillId="0" borderId="37" xfId="0" applyNumberFormat="1" applyFont="1" applyFill="1" applyBorder="1" applyAlignment="1">
      <alignment horizontal="left" vertical="top" indent="1" shrinkToFi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 indent="1"/>
    </xf>
    <xf numFmtId="166" fontId="6" fillId="0" borderId="37" xfId="0" applyNumberFormat="1" applyFont="1" applyFill="1" applyBorder="1" applyAlignment="1">
      <alignment horizontal="right" vertical="top" indent="1" shrinkToFit="1"/>
    </xf>
    <xf numFmtId="4" fontId="6" fillId="0" borderId="37" xfId="0" applyNumberFormat="1" applyFont="1" applyFill="1" applyBorder="1" applyAlignment="1">
      <alignment horizontal="left" vertical="top" indent="1" shrinkToFit="1"/>
    </xf>
    <xf numFmtId="166" fontId="8" fillId="0" borderId="37" xfId="0" applyNumberFormat="1" applyFont="1" applyFill="1" applyBorder="1" applyAlignment="1">
      <alignment horizontal="right" vertical="top" indent="1" shrinkToFit="1"/>
    </xf>
    <xf numFmtId="4" fontId="8" fillId="0" borderId="37" xfId="0" applyNumberFormat="1" applyFont="1" applyFill="1" applyBorder="1" applyAlignment="1">
      <alignment horizontal="left" vertical="top" indent="1" shrinkToFit="1"/>
    </xf>
    <xf numFmtId="0" fontId="12" fillId="0" borderId="37" xfId="0" applyFont="1" applyFill="1" applyBorder="1" applyAlignment="1">
      <alignment horizontal="left" vertical="top" wrapText="1" indent="2"/>
    </xf>
    <xf numFmtId="167" fontId="8" fillId="0" borderId="37" xfId="0" applyNumberFormat="1" applyFont="1" applyFill="1" applyBorder="1" applyAlignment="1">
      <alignment horizontal="center" vertical="top" shrinkToFit="1"/>
    </xf>
    <xf numFmtId="167" fontId="9" fillId="0" borderId="37" xfId="0" applyNumberFormat="1" applyFont="1" applyFill="1" applyBorder="1" applyAlignment="1">
      <alignment horizontal="center" vertical="top" shrinkToFit="1"/>
    </xf>
    <xf numFmtId="167" fontId="6" fillId="0" borderId="37" xfId="0" applyNumberFormat="1" applyFont="1" applyFill="1" applyBorder="1" applyAlignment="1">
      <alignment horizontal="center" vertical="top" shrinkToFit="1"/>
    </xf>
    <xf numFmtId="167" fontId="7" fillId="0" borderId="37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166" fontId="6" fillId="0" borderId="37" xfId="0" applyNumberFormat="1" applyFont="1" applyFill="1" applyBorder="1" applyAlignment="1">
      <alignment horizontal="right" vertical="top" indent="2" shrinkToFit="1"/>
    </xf>
    <xf numFmtId="166" fontId="14" fillId="0" borderId="37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 indent="2"/>
    </xf>
    <xf numFmtId="2" fontId="6" fillId="0" borderId="37" xfId="0" applyNumberFormat="1" applyFont="1" applyFill="1" applyBorder="1" applyAlignment="1">
      <alignment horizontal="center" vertical="top" shrinkToFit="1"/>
    </xf>
    <xf numFmtId="2" fontId="6" fillId="0" borderId="37" xfId="0" applyNumberFormat="1" applyFont="1" applyFill="1" applyBorder="1" applyAlignment="1">
      <alignment horizontal="left" vertical="top" indent="1" shrinkToFit="1"/>
    </xf>
    <xf numFmtId="166" fontId="6" fillId="0" borderId="37" xfId="0" applyNumberFormat="1" applyFont="1" applyFill="1" applyBorder="1" applyAlignment="1">
      <alignment horizontal="right" vertical="top" indent="3" shrinkToFit="1"/>
    </xf>
    <xf numFmtId="2" fontId="8" fillId="0" borderId="37" xfId="0" applyNumberFormat="1" applyFont="1" applyFill="1" applyBorder="1" applyAlignment="1">
      <alignment horizontal="center" vertical="top" shrinkToFit="1"/>
    </xf>
    <xf numFmtId="0" fontId="15" fillId="0" borderId="37" xfId="0" applyFont="1" applyFill="1" applyBorder="1" applyAlignment="1">
      <alignment horizontal="center" vertical="top" wrapText="1"/>
    </xf>
    <xf numFmtId="2" fontId="6" fillId="0" borderId="37" xfId="0" applyNumberFormat="1" applyFont="1" applyFill="1" applyBorder="1" applyAlignment="1">
      <alignment horizontal="left" vertical="top" indent="2" shrinkToFit="1"/>
    </xf>
    <xf numFmtId="4" fontId="6" fillId="0" borderId="37" xfId="0" applyNumberFormat="1" applyFont="1" applyFill="1" applyBorder="1" applyAlignment="1">
      <alignment horizontal="right" vertical="top" indent="1" shrinkToFit="1"/>
    </xf>
    <xf numFmtId="4" fontId="8" fillId="0" borderId="37" xfId="0" applyNumberFormat="1" applyFont="1" applyFill="1" applyBorder="1" applyAlignment="1">
      <alignment horizontal="right" vertical="top" indent="1" shrinkToFit="1"/>
    </xf>
    <xf numFmtId="0" fontId="4" fillId="0" borderId="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166" fontId="6" fillId="0" borderId="32" xfId="0" applyNumberFormat="1" applyFont="1" applyFill="1" applyBorder="1" applyAlignment="1">
      <alignment horizontal="center" vertical="top" shrinkToFit="1"/>
    </xf>
    <xf numFmtId="0" fontId="4" fillId="0" borderId="32" xfId="0" applyFont="1" applyFill="1" applyBorder="1" applyAlignment="1">
      <alignment horizontal="center" vertical="top" wrapText="1"/>
    </xf>
    <xf numFmtId="2" fontId="8" fillId="0" borderId="34" xfId="0" applyNumberFormat="1" applyFont="1" applyFill="1" applyBorder="1" applyAlignment="1">
      <alignment horizontal="center" vertical="top" shrinkToFit="1"/>
    </xf>
    <xf numFmtId="166" fontId="6" fillId="0" borderId="7" xfId="0" applyNumberFormat="1" applyFont="1" applyFill="1" applyBorder="1" applyAlignment="1">
      <alignment horizontal="center" vertical="top" shrinkToFit="1"/>
    </xf>
    <xf numFmtId="2" fontId="6" fillId="0" borderId="7" xfId="0" applyNumberFormat="1" applyFont="1" applyFill="1" applyBorder="1" applyAlignment="1">
      <alignment horizontal="center" vertical="top" shrinkToFit="1"/>
    </xf>
    <xf numFmtId="0" fontId="15" fillId="0" borderId="7" xfId="0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Alignment="1"/>
    <xf numFmtId="166" fontId="6" fillId="0" borderId="31" xfId="0" applyNumberFormat="1" applyFont="1" applyFill="1" applyBorder="1" applyAlignment="1">
      <alignment horizontal="center" vertical="top" shrinkToFit="1"/>
    </xf>
    <xf numFmtId="0" fontId="19" fillId="0" borderId="37" xfId="0" applyFont="1" applyFill="1" applyBorder="1" applyAlignment="1">
      <alignment horizontal="center" vertical="top" wrapText="1"/>
    </xf>
    <xf numFmtId="166" fontId="6" fillId="0" borderId="31" xfId="0" applyNumberFormat="1" applyFont="1" applyFill="1" applyBorder="1" applyAlignment="1">
      <alignment horizontal="left" vertical="top" indent="1" shrinkToFit="1"/>
    </xf>
    <xf numFmtId="0" fontId="4" fillId="0" borderId="7" xfId="0" applyFont="1" applyFill="1" applyBorder="1" applyAlignment="1">
      <alignment horizontal="left" vertical="top" wrapText="1" indent="3"/>
    </xf>
    <xf numFmtId="4" fontId="8" fillId="0" borderId="37" xfId="0" applyNumberFormat="1" applyFont="1" applyFill="1" applyBorder="1" applyAlignment="1">
      <alignment horizontal="center" shrinkToFit="1"/>
    </xf>
    <xf numFmtId="4" fontId="8" fillId="0" borderId="34" xfId="0" applyNumberFormat="1" applyFont="1" applyFill="1" applyBorder="1" applyAlignment="1">
      <alignment horizontal="center" shrinkToFit="1"/>
    </xf>
    <xf numFmtId="4" fontId="8" fillId="0" borderId="34" xfId="0" applyNumberFormat="1" applyFont="1" applyFill="1" applyBorder="1" applyAlignment="1">
      <alignment horizontal="center" shrinkToFi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top" wrapText="1" indent="6"/>
    </xf>
    <xf numFmtId="0" fontId="4" fillId="0" borderId="33" xfId="0" applyFont="1" applyFill="1" applyBorder="1" applyAlignment="1">
      <alignment horizontal="left" vertical="top" wrapText="1" indent="6"/>
    </xf>
    <xf numFmtId="0" fontId="4" fillId="0" borderId="34" xfId="0" applyFont="1" applyFill="1" applyBorder="1" applyAlignment="1">
      <alignment horizontal="left" vertical="top" wrapText="1" indent="6"/>
    </xf>
    <xf numFmtId="0" fontId="4" fillId="0" borderId="32" xfId="0" applyFont="1" applyFill="1" applyBorder="1" applyAlignment="1">
      <alignment horizontal="left" vertical="top" wrapText="1" indent="9"/>
    </xf>
    <xf numFmtId="0" fontId="4" fillId="0" borderId="33" xfId="0" applyFont="1" applyFill="1" applyBorder="1" applyAlignment="1">
      <alignment horizontal="left" vertical="top" wrapText="1" indent="9"/>
    </xf>
    <xf numFmtId="0" fontId="4" fillId="0" borderId="34" xfId="0" applyFont="1" applyFill="1" applyBorder="1" applyAlignment="1">
      <alignment horizontal="left" vertical="top" wrapText="1" indent="9"/>
    </xf>
    <xf numFmtId="0" fontId="4" fillId="0" borderId="31" xfId="0" applyFont="1" applyFill="1" applyBorder="1" applyAlignment="1">
      <alignment horizontal="left" wrapText="1" indent="2"/>
    </xf>
    <xf numFmtId="0" fontId="4" fillId="0" borderId="36" xfId="0" applyFont="1" applyFill="1" applyBorder="1" applyAlignment="1">
      <alignment horizontal="left" wrapText="1" indent="2"/>
    </xf>
    <xf numFmtId="0" fontId="0" fillId="0" borderId="31" xfId="0" applyFill="1" applyBorder="1" applyAlignment="1">
      <alignment horizontal="left" vertical="top" wrapText="1" indent="1"/>
    </xf>
    <xf numFmtId="0" fontId="0" fillId="0" borderId="36" xfId="0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top" wrapText="1" indent="3"/>
    </xf>
    <xf numFmtId="0" fontId="4" fillId="0" borderId="33" xfId="0" applyFont="1" applyFill="1" applyBorder="1" applyAlignment="1">
      <alignment horizontal="left" vertical="top" wrapText="1" indent="3"/>
    </xf>
    <xf numFmtId="0" fontId="4" fillId="0" borderId="34" xfId="0" applyFont="1" applyFill="1" applyBorder="1" applyAlignment="1">
      <alignment horizontal="left" vertical="top" wrapText="1" indent="3"/>
    </xf>
    <xf numFmtId="0" fontId="0" fillId="0" borderId="35" xfId="0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 indent="4"/>
    </xf>
    <xf numFmtId="0" fontId="4" fillId="0" borderId="33" xfId="0" applyFont="1" applyFill="1" applyBorder="1" applyAlignment="1">
      <alignment horizontal="left" vertical="top" wrapText="1" indent="4"/>
    </xf>
    <xf numFmtId="0" fontId="4" fillId="0" borderId="34" xfId="0" applyFont="1" applyFill="1" applyBorder="1" applyAlignment="1">
      <alignment horizontal="left" vertical="top" wrapText="1" indent="4"/>
    </xf>
    <xf numFmtId="0" fontId="4" fillId="0" borderId="32" xfId="0" applyFont="1" applyFill="1" applyBorder="1" applyAlignment="1">
      <alignment horizontal="left" vertical="top" wrapText="1" indent="7"/>
    </xf>
    <xf numFmtId="0" fontId="4" fillId="0" borderId="33" xfId="0" applyFont="1" applyFill="1" applyBorder="1" applyAlignment="1">
      <alignment horizontal="left" vertical="top" wrapText="1" indent="7"/>
    </xf>
    <xf numFmtId="0" fontId="4" fillId="0" borderId="34" xfId="0" applyFont="1" applyFill="1" applyBorder="1" applyAlignment="1">
      <alignment horizontal="left" vertical="top" wrapText="1" indent="7"/>
    </xf>
    <xf numFmtId="0" fontId="0" fillId="0" borderId="31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left" vertical="top" wrapText="1" indent="7"/>
    </xf>
    <xf numFmtId="0" fontId="12" fillId="0" borderId="33" xfId="0" applyFont="1" applyFill="1" applyBorder="1" applyAlignment="1">
      <alignment horizontal="left" vertical="top" wrapText="1" indent="7"/>
    </xf>
    <xf numFmtId="0" fontId="12" fillId="0" borderId="34" xfId="0" applyFont="1" applyFill="1" applyBorder="1" applyAlignment="1">
      <alignment horizontal="left" vertical="top" wrapText="1" indent="7"/>
    </xf>
    <xf numFmtId="0" fontId="12" fillId="0" borderId="32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left" vertical="top" wrapText="1" indent="6"/>
    </xf>
    <xf numFmtId="0" fontId="12" fillId="0" borderId="33" xfId="0" applyFont="1" applyFill="1" applyBorder="1" applyAlignment="1">
      <alignment horizontal="left" vertical="top" wrapText="1" indent="6"/>
    </xf>
    <xf numFmtId="0" fontId="12" fillId="0" borderId="34" xfId="0" applyFont="1" applyFill="1" applyBorder="1" applyAlignment="1">
      <alignment horizontal="left" vertical="top" wrapText="1" indent="6"/>
    </xf>
    <xf numFmtId="0" fontId="4" fillId="0" borderId="32" xfId="0" applyFont="1" applyFill="1" applyBorder="1" applyAlignment="1">
      <alignment horizontal="left" vertical="top" wrapText="1" indent="5"/>
    </xf>
    <xf numFmtId="0" fontId="4" fillId="0" borderId="33" xfId="0" applyFont="1" applyFill="1" applyBorder="1" applyAlignment="1">
      <alignment horizontal="left" vertical="top" wrapText="1" indent="5"/>
    </xf>
    <xf numFmtId="0" fontId="4" fillId="0" borderId="34" xfId="0" applyFont="1" applyFill="1" applyBorder="1" applyAlignment="1">
      <alignment horizontal="left" vertical="top" wrapText="1" indent="5"/>
    </xf>
    <xf numFmtId="0" fontId="4" fillId="0" borderId="32" xfId="0" applyFont="1" applyFill="1" applyBorder="1" applyAlignment="1">
      <alignment horizontal="left" vertical="top" wrapText="1" indent="8"/>
    </xf>
    <xf numFmtId="0" fontId="4" fillId="0" borderId="33" xfId="0" applyFont="1" applyFill="1" applyBorder="1" applyAlignment="1">
      <alignment horizontal="left" vertical="top" wrapText="1" indent="8"/>
    </xf>
    <xf numFmtId="0" fontId="4" fillId="0" borderId="34" xfId="0" applyFont="1" applyFill="1" applyBorder="1" applyAlignment="1">
      <alignment horizontal="left" vertical="top" wrapText="1" indent="8"/>
    </xf>
    <xf numFmtId="0" fontId="4" fillId="0" borderId="31" xfId="0" applyFont="1" applyFill="1" applyBorder="1" applyAlignment="1">
      <alignment horizontal="left" wrapText="1" indent="3"/>
    </xf>
    <xf numFmtId="0" fontId="4" fillId="0" borderId="36" xfId="0" applyFont="1" applyFill="1" applyBorder="1" applyAlignment="1">
      <alignment horizontal="left" wrapText="1" indent="3"/>
    </xf>
    <xf numFmtId="0" fontId="0" fillId="0" borderId="31" xfId="0" applyFill="1" applyBorder="1" applyAlignment="1">
      <alignment horizontal="left" vertical="top" wrapText="1" indent="2"/>
    </xf>
    <xf numFmtId="0" fontId="0" fillId="0" borderId="36" xfId="0" applyFill="1" applyBorder="1" applyAlignment="1">
      <alignment horizontal="left" vertical="top" wrapText="1" indent="2"/>
    </xf>
    <xf numFmtId="0" fontId="4" fillId="0" borderId="38" xfId="0" applyFont="1" applyFill="1" applyBorder="1" applyAlignment="1">
      <alignment horizontal="left" vertical="center" wrapText="1" indent="6"/>
    </xf>
    <xf numFmtId="0" fontId="0" fillId="0" borderId="38" xfId="0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center" wrapText="1" indent="2"/>
    </xf>
    <xf numFmtId="0" fontId="4" fillId="0" borderId="36" xfId="0" applyFont="1" applyFill="1" applyBorder="1" applyAlignment="1">
      <alignment horizontal="left" vertical="center" wrapText="1" indent="2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10" fillId="0" borderId="38" xfId="0" applyFont="1" applyFill="1" applyBorder="1" applyAlignment="1">
      <alignment horizontal="left" vertical="top" wrapText="1" indent="1"/>
    </xf>
    <xf numFmtId="0" fontId="10" fillId="0" borderId="38" xfId="0" applyFont="1" applyFill="1" applyBorder="1" applyAlignment="1">
      <alignment horizontal="left" vertical="top" wrapText="1" indent="2"/>
    </xf>
    <xf numFmtId="0" fontId="10" fillId="0" borderId="3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top" wrapText="1" indent="2"/>
    </xf>
    <xf numFmtId="0" fontId="4" fillId="0" borderId="33" xfId="0" applyFont="1" applyFill="1" applyBorder="1" applyAlignment="1">
      <alignment horizontal="left" vertical="top" wrapText="1" indent="2"/>
    </xf>
    <xf numFmtId="0" fontId="4" fillId="0" borderId="34" xfId="0" applyFont="1" applyFill="1" applyBorder="1" applyAlignment="1">
      <alignment horizontal="left" vertical="top" wrapText="1" indent="2"/>
    </xf>
    <xf numFmtId="0" fontId="11" fillId="0" borderId="38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top" shrinkToFit="1"/>
    </xf>
    <xf numFmtId="4" fontId="6" fillId="0" borderId="34" xfId="0" applyNumberFormat="1" applyFont="1" applyFill="1" applyBorder="1" applyAlignment="1">
      <alignment horizontal="center" vertical="top" shrinkToFit="1"/>
    </xf>
    <xf numFmtId="4" fontId="8" fillId="0" borderId="32" xfId="0" applyNumberFormat="1" applyFont="1" applyFill="1" applyBorder="1" applyAlignment="1">
      <alignment horizontal="center" shrinkToFit="1"/>
    </xf>
    <xf numFmtId="4" fontId="8" fillId="0" borderId="34" xfId="0" applyNumberFormat="1" applyFont="1" applyFill="1" applyBorder="1" applyAlignment="1">
      <alignment horizontal="center" shrinkToFi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topLeftCell="A16" workbookViewId="0">
      <selection activeCell="A26" sqref="A26:A28"/>
    </sheetView>
  </sheetViews>
  <sheetFormatPr defaultRowHeight="15" x14ac:dyDescent="0.25"/>
  <cols>
    <col min="1" max="1" width="13.140625" style="51" customWidth="1"/>
    <col min="2" max="3" width="12.28515625" style="51" customWidth="1"/>
    <col min="4" max="4" width="12.140625" style="51" customWidth="1"/>
    <col min="5" max="5" width="9.140625" style="51"/>
    <col min="6" max="6" width="14.5703125" style="51" customWidth="1"/>
    <col min="7" max="7" width="13.140625" style="51" customWidth="1"/>
    <col min="8" max="8" width="14.140625" style="51" customWidth="1"/>
    <col min="9" max="9" width="12.28515625" style="51" customWidth="1"/>
    <col min="10" max="10" width="9.140625" style="51"/>
    <col min="11" max="11" width="14.5703125" style="51" customWidth="1"/>
    <col min="12" max="12" width="13.140625" style="51" customWidth="1"/>
    <col min="13" max="13" width="14.140625" style="51" customWidth="1"/>
    <col min="14" max="14" width="12.28515625" style="51" customWidth="1"/>
    <col min="15" max="15" width="9.140625" style="51"/>
    <col min="16" max="16" width="14.5703125" style="51" customWidth="1"/>
    <col min="17" max="17" width="13.140625" style="51" customWidth="1"/>
    <col min="18" max="16384" width="9.140625" style="51"/>
  </cols>
  <sheetData>
    <row r="1" spans="1:17" ht="15.75" thickBot="1" x14ac:dyDescent="0.3">
      <c r="A1" s="155" t="s">
        <v>20</v>
      </c>
      <c r="B1" s="155"/>
      <c r="C1" s="155"/>
      <c r="D1" s="155"/>
      <c r="F1" s="155" t="s">
        <v>20</v>
      </c>
      <c r="G1" s="155"/>
      <c r="H1" s="155"/>
      <c r="I1" s="155"/>
      <c r="K1" s="155" t="s">
        <v>20</v>
      </c>
      <c r="L1" s="155"/>
      <c r="M1" s="155"/>
      <c r="N1" s="155"/>
      <c r="P1" s="47" t="s">
        <v>21</v>
      </c>
      <c r="Q1" s="17"/>
    </row>
    <row r="2" spans="1:17" ht="15" customHeight="1" thickBot="1" x14ac:dyDescent="0.3">
      <c r="A2" s="151" t="s">
        <v>1</v>
      </c>
      <c r="B2" s="156" t="s">
        <v>2</v>
      </c>
      <c r="C2" s="157"/>
      <c r="D2" s="158"/>
      <c r="F2" s="151" t="s">
        <v>1</v>
      </c>
      <c r="G2" s="156" t="s">
        <v>7</v>
      </c>
      <c r="H2" s="157"/>
      <c r="I2" s="158"/>
      <c r="K2" s="151" t="s">
        <v>1</v>
      </c>
      <c r="L2" s="156" t="s">
        <v>8</v>
      </c>
      <c r="M2" s="157"/>
      <c r="N2" s="158"/>
      <c r="P2" s="151" t="s">
        <v>1</v>
      </c>
      <c r="Q2" s="153" t="s">
        <v>11</v>
      </c>
    </row>
    <row r="3" spans="1:17" ht="15.75" thickBot="1" x14ac:dyDescent="0.3">
      <c r="A3" s="152"/>
      <c r="B3" s="52" t="s">
        <v>22</v>
      </c>
      <c r="C3" s="52" t="s">
        <v>4</v>
      </c>
      <c r="D3" s="52" t="s">
        <v>5</v>
      </c>
      <c r="F3" s="152"/>
      <c r="G3" s="52" t="s">
        <v>22</v>
      </c>
      <c r="H3" s="52" t="s">
        <v>4</v>
      </c>
      <c r="I3" s="52" t="s">
        <v>5</v>
      </c>
      <c r="K3" s="152"/>
      <c r="L3" s="52" t="s">
        <v>22</v>
      </c>
      <c r="M3" s="52" t="s">
        <v>4</v>
      </c>
      <c r="N3" s="52" t="s">
        <v>5</v>
      </c>
      <c r="P3" s="152"/>
      <c r="Q3" s="154"/>
    </row>
    <row r="4" spans="1:17" ht="15.75" thickBot="1" x14ac:dyDescent="0.3">
      <c r="A4" s="53">
        <v>44565</v>
      </c>
      <c r="B4" s="65">
        <v>11143.17</v>
      </c>
      <c r="C4" s="65">
        <v>11368.28</v>
      </c>
      <c r="D4" s="23">
        <v>11255.72</v>
      </c>
      <c r="F4" s="19">
        <v>44565</v>
      </c>
      <c r="G4" s="64">
        <v>12585.61</v>
      </c>
      <c r="H4" s="64">
        <v>12841.52</v>
      </c>
      <c r="I4" s="25">
        <v>12713.57</v>
      </c>
      <c r="K4" s="19">
        <v>44565</v>
      </c>
      <c r="L4" s="64">
        <v>15002.05</v>
      </c>
      <c r="M4" s="64">
        <v>15309.66</v>
      </c>
      <c r="N4" s="25">
        <v>15155.86</v>
      </c>
      <c r="P4" s="18">
        <v>44565</v>
      </c>
      <c r="Q4" s="85">
        <v>15768.73</v>
      </c>
    </row>
    <row r="5" spans="1:17" x14ac:dyDescent="0.25">
      <c r="A5" s="53">
        <v>44566</v>
      </c>
      <c r="B5" s="65">
        <v>11143.17</v>
      </c>
      <c r="C5" s="65">
        <v>11368.28</v>
      </c>
      <c r="D5" s="23">
        <v>11255.72</v>
      </c>
      <c r="F5" s="19">
        <v>44566</v>
      </c>
      <c r="G5" s="64">
        <v>12591.53</v>
      </c>
      <c r="H5" s="64">
        <v>12840.42</v>
      </c>
      <c r="I5" s="25">
        <v>12715.97</v>
      </c>
      <c r="K5" s="19">
        <v>44566</v>
      </c>
      <c r="L5" s="64">
        <v>15083.4</v>
      </c>
      <c r="M5" s="64">
        <v>15389.24</v>
      </c>
      <c r="N5" s="25">
        <v>15236.32</v>
      </c>
      <c r="P5" s="19">
        <v>44566</v>
      </c>
      <c r="Q5" s="86">
        <v>15720.28</v>
      </c>
    </row>
    <row r="6" spans="1:17" x14ac:dyDescent="0.25">
      <c r="A6" s="53">
        <v>44567</v>
      </c>
      <c r="B6" s="64">
        <v>11226.51</v>
      </c>
      <c r="C6" s="64">
        <v>11453.31</v>
      </c>
      <c r="D6" s="25">
        <v>11339.91</v>
      </c>
      <c r="F6" s="19">
        <v>44567</v>
      </c>
      <c r="G6" s="64">
        <v>12681.21</v>
      </c>
      <c r="H6" s="64">
        <v>12934.61</v>
      </c>
      <c r="I6" s="25">
        <v>12807.91</v>
      </c>
      <c r="K6" s="19">
        <v>44567</v>
      </c>
      <c r="L6" s="64">
        <v>15169.26</v>
      </c>
      <c r="M6" s="64">
        <v>15481.44</v>
      </c>
      <c r="N6" s="25">
        <v>15325.35</v>
      </c>
      <c r="P6" s="19">
        <v>44567</v>
      </c>
      <c r="Q6" s="86">
        <v>15866.67</v>
      </c>
    </row>
    <row r="7" spans="1:17" x14ac:dyDescent="0.25">
      <c r="A7" s="53">
        <v>44568</v>
      </c>
      <c r="B7" s="64">
        <v>11226.51</v>
      </c>
      <c r="C7" s="64">
        <v>11453.31</v>
      </c>
      <c r="D7" s="25">
        <v>11339.91</v>
      </c>
      <c r="F7" s="19">
        <v>44568</v>
      </c>
      <c r="G7" s="64">
        <v>12685.34</v>
      </c>
      <c r="H7" s="64">
        <v>12937.16</v>
      </c>
      <c r="I7" s="25">
        <v>12811.25</v>
      </c>
      <c r="K7" s="19">
        <v>44568</v>
      </c>
      <c r="L7" s="64">
        <v>15199.57</v>
      </c>
      <c r="M7" s="64">
        <v>15507.78</v>
      </c>
      <c r="N7" s="25">
        <v>15353.68</v>
      </c>
      <c r="P7" s="19">
        <v>44568</v>
      </c>
      <c r="Q7" s="86">
        <v>15857.79</v>
      </c>
    </row>
    <row r="8" spans="1:17" x14ac:dyDescent="0.25">
      <c r="A8" s="53">
        <v>44571</v>
      </c>
      <c r="B8" s="64">
        <v>11226.51</v>
      </c>
      <c r="C8" s="64">
        <v>11453.31</v>
      </c>
      <c r="D8" s="25">
        <v>11339.91</v>
      </c>
      <c r="F8" s="19">
        <v>44571</v>
      </c>
      <c r="G8" s="64">
        <v>12720.57</v>
      </c>
      <c r="H8" s="64">
        <v>12973.09</v>
      </c>
      <c r="I8" s="25">
        <v>12846.83</v>
      </c>
      <c r="K8" s="19">
        <v>44571</v>
      </c>
      <c r="L8" s="64">
        <v>15245.6</v>
      </c>
      <c r="M8" s="64">
        <v>15554.74</v>
      </c>
      <c r="N8" s="25">
        <v>15400.17</v>
      </c>
      <c r="P8" s="19">
        <v>44571</v>
      </c>
      <c r="Q8" s="86">
        <v>15855.58</v>
      </c>
    </row>
    <row r="9" spans="1:17" x14ac:dyDescent="0.25">
      <c r="A9" s="53">
        <v>44572</v>
      </c>
      <c r="B9" s="64">
        <v>11226.51</v>
      </c>
      <c r="C9" s="64">
        <v>11453.31</v>
      </c>
      <c r="D9" s="25">
        <v>11339.91</v>
      </c>
      <c r="F9" s="19">
        <v>44572</v>
      </c>
      <c r="G9" s="64">
        <v>12723.63</v>
      </c>
      <c r="H9" s="64">
        <v>12980.54</v>
      </c>
      <c r="I9" s="25">
        <v>12852.09</v>
      </c>
      <c r="K9" s="19">
        <v>44572</v>
      </c>
      <c r="L9" s="64">
        <v>15246.72</v>
      </c>
      <c r="M9" s="64">
        <v>15555.88</v>
      </c>
      <c r="N9" s="25">
        <v>15401.3</v>
      </c>
      <c r="P9" s="19">
        <v>44572</v>
      </c>
      <c r="Q9" s="86">
        <v>15875.56</v>
      </c>
    </row>
    <row r="10" spans="1:17" x14ac:dyDescent="0.25">
      <c r="A10" s="53">
        <v>44573</v>
      </c>
      <c r="B10" s="64">
        <v>11226.51</v>
      </c>
      <c r="C10" s="64">
        <v>11453.31</v>
      </c>
      <c r="D10" s="25">
        <v>11339.91</v>
      </c>
      <c r="F10" s="19">
        <v>44573</v>
      </c>
      <c r="G10" s="64">
        <v>12762.76</v>
      </c>
      <c r="H10" s="64">
        <v>13016.12</v>
      </c>
      <c r="I10" s="25">
        <v>12889.44</v>
      </c>
      <c r="K10" s="19">
        <v>44573</v>
      </c>
      <c r="L10" s="64">
        <v>15305.1</v>
      </c>
      <c r="M10" s="64">
        <v>15615.44</v>
      </c>
      <c r="N10" s="25">
        <v>15460.27</v>
      </c>
      <c r="P10" s="19">
        <v>44573</v>
      </c>
      <c r="Q10" s="86">
        <v>15880</v>
      </c>
    </row>
    <row r="11" spans="1:17" x14ac:dyDescent="0.25">
      <c r="A11" s="53">
        <v>44574</v>
      </c>
      <c r="B11" s="64">
        <v>11253.1</v>
      </c>
      <c r="C11" s="64">
        <v>11480.43</v>
      </c>
      <c r="D11" s="25">
        <v>11366.77</v>
      </c>
      <c r="F11" s="19">
        <v>44574</v>
      </c>
      <c r="G11" s="64">
        <v>12875.45</v>
      </c>
      <c r="H11" s="64">
        <v>13134.32</v>
      </c>
      <c r="I11" s="25">
        <v>13004.88</v>
      </c>
      <c r="K11" s="19">
        <v>44574</v>
      </c>
      <c r="L11" s="64">
        <v>15423.5</v>
      </c>
      <c r="M11" s="64">
        <v>15736.23</v>
      </c>
      <c r="N11" s="25">
        <v>15579.86</v>
      </c>
      <c r="P11" s="19">
        <v>44574</v>
      </c>
      <c r="Q11" s="86">
        <v>15935.47</v>
      </c>
    </row>
    <row r="12" spans="1:17" x14ac:dyDescent="0.25">
      <c r="A12" s="53">
        <v>44575</v>
      </c>
      <c r="B12" s="64">
        <v>11253.1</v>
      </c>
      <c r="C12" s="64">
        <v>11480.43</v>
      </c>
      <c r="D12" s="25">
        <v>11366.77</v>
      </c>
      <c r="F12" s="19">
        <v>44575</v>
      </c>
      <c r="G12" s="64">
        <v>12922.25</v>
      </c>
      <c r="H12" s="64">
        <v>13178.75</v>
      </c>
      <c r="I12" s="25">
        <v>13050.5</v>
      </c>
      <c r="K12" s="19">
        <v>44575</v>
      </c>
      <c r="L12" s="64">
        <v>15455.01</v>
      </c>
      <c r="M12" s="64">
        <v>15768.37</v>
      </c>
      <c r="N12" s="25">
        <v>15611.69</v>
      </c>
      <c r="P12" s="19">
        <v>44575</v>
      </c>
      <c r="Q12" s="86">
        <v>15998.27</v>
      </c>
    </row>
    <row r="13" spans="1:17" x14ac:dyDescent="0.25">
      <c r="A13" s="53">
        <v>44578</v>
      </c>
      <c r="B13" s="64">
        <v>11253.1</v>
      </c>
      <c r="C13" s="64">
        <v>11480.43</v>
      </c>
      <c r="D13" s="25">
        <v>11366.77</v>
      </c>
      <c r="F13" s="19">
        <v>44578</v>
      </c>
      <c r="G13" s="64">
        <v>12841.63</v>
      </c>
      <c r="H13" s="64">
        <v>13101.6</v>
      </c>
      <c r="I13" s="25">
        <v>12971.62</v>
      </c>
      <c r="K13" s="19">
        <v>44578</v>
      </c>
      <c r="L13" s="64">
        <v>15382.99</v>
      </c>
      <c r="M13" s="64">
        <v>15698.34</v>
      </c>
      <c r="N13" s="25">
        <v>15540.66</v>
      </c>
      <c r="P13" s="19">
        <v>44578</v>
      </c>
      <c r="Q13" s="86">
        <v>16002.77</v>
      </c>
    </row>
    <row r="14" spans="1:17" x14ac:dyDescent="0.25">
      <c r="A14" s="53">
        <v>44579</v>
      </c>
      <c r="B14" s="64">
        <v>11253.1</v>
      </c>
      <c r="C14" s="64">
        <v>11480.43</v>
      </c>
      <c r="D14" s="25">
        <v>11366.77</v>
      </c>
      <c r="F14" s="19">
        <v>44579</v>
      </c>
      <c r="G14" s="64">
        <v>12830.98</v>
      </c>
      <c r="H14" s="64">
        <v>13082.13</v>
      </c>
      <c r="I14" s="25">
        <v>12956.55</v>
      </c>
      <c r="K14" s="19">
        <v>44579</v>
      </c>
      <c r="L14" s="64">
        <v>15345.85</v>
      </c>
      <c r="M14" s="64">
        <v>15659.31</v>
      </c>
      <c r="N14" s="25">
        <v>15502.58</v>
      </c>
      <c r="P14" s="19">
        <v>44579</v>
      </c>
      <c r="Q14" s="86">
        <v>16002.77</v>
      </c>
    </row>
    <row r="15" spans="1:17" x14ac:dyDescent="0.25">
      <c r="A15" s="53">
        <v>44580</v>
      </c>
      <c r="B15" s="64">
        <v>11253.1</v>
      </c>
      <c r="C15" s="64">
        <v>11480.43</v>
      </c>
      <c r="D15" s="25">
        <v>11366.77</v>
      </c>
      <c r="F15" s="19">
        <v>44580</v>
      </c>
      <c r="G15" s="64">
        <v>12754.89</v>
      </c>
      <c r="H15" s="64">
        <v>13012.05</v>
      </c>
      <c r="I15" s="25">
        <v>12883.47</v>
      </c>
      <c r="K15" s="19">
        <v>44580</v>
      </c>
      <c r="L15" s="64">
        <v>15310.97</v>
      </c>
      <c r="M15" s="64">
        <v>15624.87</v>
      </c>
      <c r="N15" s="25">
        <v>15467.92</v>
      </c>
      <c r="P15" s="19">
        <v>44580</v>
      </c>
      <c r="Q15" s="86">
        <v>15953.36</v>
      </c>
    </row>
    <row r="16" spans="1:17" x14ac:dyDescent="0.25">
      <c r="A16" s="53">
        <v>44581</v>
      </c>
      <c r="B16" s="64">
        <v>11209.04</v>
      </c>
      <c r="C16" s="64">
        <v>11435.48</v>
      </c>
      <c r="D16" s="25">
        <v>11322.26</v>
      </c>
      <c r="F16" s="19">
        <v>44581</v>
      </c>
      <c r="G16" s="64">
        <v>12723.5</v>
      </c>
      <c r="H16" s="64">
        <v>12978.24</v>
      </c>
      <c r="I16" s="25">
        <v>12850.87</v>
      </c>
      <c r="K16" s="19">
        <v>44581</v>
      </c>
      <c r="L16" s="64">
        <v>15274.56</v>
      </c>
      <c r="M16" s="64">
        <v>15584.27</v>
      </c>
      <c r="N16" s="25">
        <v>15429.42</v>
      </c>
      <c r="P16" s="19">
        <v>44581</v>
      </c>
      <c r="Q16" s="86">
        <v>15875.29</v>
      </c>
    </row>
    <row r="17" spans="1:17" x14ac:dyDescent="0.25">
      <c r="A17" s="53">
        <v>44582</v>
      </c>
      <c r="B17" s="64">
        <v>11209.04</v>
      </c>
      <c r="C17" s="64">
        <v>11435.48</v>
      </c>
      <c r="D17" s="25">
        <v>11322.26</v>
      </c>
      <c r="F17" s="19">
        <v>44582</v>
      </c>
      <c r="G17" s="64">
        <v>12693.55</v>
      </c>
      <c r="H17" s="64">
        <v>12945.16</v>
      </c>
      <c r="I17" s="25">
        <v>12819.36</v>
      </c>
      <c r="K17" s="19">
        <v>44582</v>
      </c>
      <c r="L17" s="64">
        <v>15229.72</v>
      </c>
      <c r="M17" s="64">
        <v>15541.96</v>
      </c>
      <c r="N17" s="25">
        <v>15385.84</v>
      </c>
      <c r="P17" s="19">
        <v>44582</v>
      </c>
      <c r="Q17" s="86">
        <v>15877.52</v>
      </c>
    </row>
    <row r="18" spans="1:17" x14ac:dyDescent="0.25">
      <c r="A18" s="53">
        <v>44585</v>
      </c>
      <c r="B18" s="64">
        <v>11209.04</v>
      </c>
      <c r="C18" s="64">
        <v>11435.48</v>
      </c>
      <c r="D18" s="25">
        <v>11322.26</v>
      </c>
      <c r="F18" s="19">
        <v>44585</v>
      </c>
      <c r="G18" s="64">
        <v>12694.27</v>
      </c>
      <c r="H18" s="64">
        <v>12946.13</v>
      </c>
      <c r="I18" s="25">
        <v>12820.2</v>
      </c>
      <c r="K18" s="19">
        <v>44585</v>
      </c>
      <c r="L18" s="64">
        <v>15184.89</v>
      </c>
      <c r="M18" s="64">
        <v>15493.93</v>
      </c>
      <c r="N18" s="25">
        <v>15339.41</v>
      </c>
      <c r="P18" s="19">
        <v>44585</v>
      </c>
      <c r="Q18" s="86">
        <v>15873.07</v>
      </c>
    </row>
    <row r="19" spans="1:17" x14ac:dyDescent="0.25">
      <c r="A19" s="53">
        <v>44586</v>
      </c>
      <c r="B19" s="64">
        <v>11209.04</v>
      </c>
      <c r="C19" s="64">
        <v>11435.48</v>
      </c>
      <c r="D19" s="25">
        <v>11322.26</v>
      </c>
      <c r="F19" s="19">
        <v>44586</v>
      </c>
      <c r="G19" s="64">
        <v>12679.06</v>
      </c>
      <c r="H19" s="64">
        <v>12930.73</v>
      </c>
      <c r="I19" s="25">
        <v>12804.9</v>
      </c>
      <c r="K19" s="19">
        <v>44586</v>
      </c>
      <c r="L19" s="64">
        <v>15110.91</v>
      </c>
      <c r="M19" s="64">
        <v>15417.31</v>
      </c>
      <c r="N19" s="25">
        <v>15264.11</v>
      </c>
      <c r="P19" s="19">
        <v>44586</v>
      </c>
      <c r="Q19" s="86">
        <v>15861.95</v>
      </c>
    </row>
    <row r="20" spans="1:17" x14ac:dyDescent="0.25">
      <c r="A20" s="53">
        <v>44587</v>
      </c>
      <c r="B20" s="64">
        <v>11209.04</v>
      </c>
      <c r="C20" s="64">
        <v>11435.48</v>
      </c>
      <c r="D20" s="25">
        <v>11322.26</v>
      </c>
      <c r="F20" s="19">
        <v>44587</v>
      </c>
      <c r="G20" s="64">
        <v>12672.43</v>
      </c>
      <c r="H20" s="64">
        <v>12931.89</v>
      </c>
      <c r="I20" s="25">
        <v>12802.16</v>
      </c>
      <c r="K20" s="19">
        <v>44587</v>
      </c>
      <c r="L20" s="64">
        <v>15142.29</v>
      </c>
      <c r="M20" s="64">
        <v>15456.19</v>
      </c>
      <c r="N20" s="25">
        <v>15299.24</v>
      </c>
      <c r="P20" s="19">
        <v>44587</v>
      </c>
      <c r="Q20" s="86">
        <v>15837.54</v>
      </c>
    </row>
    <row r="21" spans="1:17" x14ac:dyDescent="0.25">
      <c r="A21" s="53">
        <v>44588</v>
      </c>
      <c r="B21" s="64">
        <v>11349.93</v>
      </c>
      <c r="C21" s="64">
        <v>11579.23</v>
      </c>
      <c r="D21" s="25">
        <v>11464.58</v>
      </c>
      <c r="F21" s="19">
        <v>44588</v>
      </c>
      <c r="G21" s="64">
        <v>12728.96</v>
      </c>
      <c r="H21" s="64">
        <v>12987.82</v>
      </c>
      <c r="I21" s="25">
        <v>12858.39</v>
      </c>
      <c r="K21" s="19">
        <v>44588</v>
      </c>
      <c r="L21" s="64">
        <v>15232.74</v>
      </c>
      <c r="M21" s="64">
        <v>15545.12</v>
      </c>
      <c r="N21" s="25">
        <v>15388.93</v>
      </c>
      <c r="P21" s="19">
        <v>44588</v>
      </c>
      <c r="Q21" s="86">
        <v>16047.84</v>
      </c>
    </row>
    <row r="22" spans="1:17" x14ac:dyDescent="0.25">
      <c r="A22" s="53">
        <v>44589</v>
      </c>
      <c r="B22" s="64">
        <v>11349.93</v>
      </c>
      <c r="C22" s="64">
        <v>11579.23</v>
      </c>
      <c r="D22" s="25">
        <v>11464.58</v>
      </c>
      <c r="F22" s="19">
        <v>44589</v>
      </c>
      <c r="G22" s="64">
        <v>12660.55</v>
      </c>
      <c r="H22" s="64">
        <v>12915.44</v>
      </c>
      <c r="I22" s="25">
        <v>12788</v>
      </c>
      <c r="K22" s="19">
        <v>44589</v>
      </c>
      <c r="L22" s="64">
        <v>15217.99</v>
      </c>
      <c r="M22" s="64">
        <v>15534.69</v>
      </c>
      <c r="N22" s="25">
        <v>15376.34</v>
      </c>
      <c r="P22" s="19">
        <v>44589</v>
      </c>
      <c r="Q22" s="86">
        <v>15958.49</v>
      </c>
    </row>
    <row r="23" spans="1:17" ht="15.75" thickBot="1" x14ac:dyDescent="0.3">
      <c r="A23" s="7">
        <v>44592</v>
      </c>
      <c r="B23" s="64">
        <v>11349.93</v>
      </c>
      <c r="C23" s="64">
        <v>11579.23</v>
      </c>
      <c r="D23" s="25">
        <v>11464.58</v>
      </c>
      <c r="F23" s="20">
        <v>44592</v>
      </c>
      <c r="G23" s="64">
        <v>12674.1</v>
      </c>
      <c r="H23" s="64">
        <v>12926.14</v>
      </c>
      <c r="I23" s="25">
        <v>12800.12</v>
      </c>
      <c r="K23" s="20">
        <v>44592</v>
      </c>
      <c r="L23" s="64">
        <v>15230.47</v>
      </c>
      <c r="M23" s="64">
        <v>15546.27</v>
      </c>
      <c r="N23" s="25">
        <v>15388.37</v>
      </c>
      <c r="P23" s="36">
        <v>44592</v>
      </c>
      <c r="Q23" s="87">
        <v>15945.17</v>
      </c>
    </row>
    <row r="24" spans="1:17" ht="15.75" thickBot="1" x14ac:dyDescent="0.3">
      <c r="A24" s="54" t="s">
        <v>23</v>
      </c>
      <c r="B24" s="66">
        <f>AVERAGE(B4:B23)</f>
        <v>11238.969000000001</v>
      </c>
      <c r="C24" s="66">
        <f t="shared" ref="C24:D24" si="0">AVERAGE(C4:C23)</f>
        <v>11466.017500000004</v>
      </c>
      <c r="D24" s="66">
        <f t="shared" si="0"/>
        <v>11352.494000000002</v>
      </c>
      <c r="F24" s="54" t="s">
        <v>23</v>
      </c>
      <c r="G24" s="66">
        <f>AVERAGE(G4:G23)</f>
        <v>12725.113499999996</v>
      </c>
      <c r="H24" s="66">
        <f t="shared" ref="H24" si="1">AVERAGE(H4:H23)</f>
        <v>12979.693000000003</v>
      </c>
      <c r="I24" s="66">
        <f>AVERAGE(I4:I23)</f>
        <v>12852.404</v>
      </c>
      <c r="K24" s="54" t="s">
        <v>23</v>
      </c>
      <c r="L24" s="66">
        <f>AVERAGE(L4:L23)</f>
        <v>15239.679499999998</v>
      </c>
      <c r="M24" s="66">
        <f t="shared" ref="M24" si="2">AVERAGE(M4:M23)</f>
        <v>15551.052</v>
      </c>
      <c r="N24" s="66">
        <f>AVERAGE(N4:N23)</f>
        <v>15395.366</v>
      </c>
      <c r="P24" s="39" t="s">
        <v>23</v>
      </c>
      <c r="Q24" s="40">
        <f>AVERAGE(Q4:Q23)</f>
        <v>15899.706</v>
      </c>
    </row>
    <row r="26" spans="1:17" x14ac:dyDescent="0.25">
      <c r="A26" s="45" t="s">
        <v>12</v>
      </c>
      <c r="K26" s="45" t="s">
        <v>12</v>
      </c>
    </row>
    <row r="27" spans="1:17" x14ac:dyDescent="0.25">
      <c r="A27" s="45" t="s">
        <v>13</v>
      </c>
      <c r="K27" s="45" t="s">
        <v>13</v>
      </c>
    </row>
    <row r="28" spans="1:17" x14ac:dyDescent="0.25">
      <c r="A28" s="45" t="s">
        <v>14</v>
      </c>
      <c r="K28" s="45" t="s">
        <v>14</v>
      </c>
    </row>
  </sheetData>
  <mergeCells count="11">
    <mergeCell ref="P2:P3"/>
    <mergeCell ref="Q2:Q3"/>
    <mergeCell ref="A1:D1"/>
    <mergeCell ref="F1:I1"/>
    <mergeCell ref="K1:N1"/>
    <mergeCell ref="A2:A3"/>
    <mergeCell ref="B2:D2"/>
    <mergeCell ref="F2:F3"/>
    <mergeCell ref="G2:I2"/>
    <mergeCell ref="K2:K3"/>
    <mergeCell ref="L2:N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opLeftCell="D38" workbookViewId="0">
      <selection sqref="A1:Q59"/>
    </sheetView>
  </sheetViews>
  <sheetFormatPr defaultRowHeight="15" x14ac:dyDescent="0.25"/>
  <cols>
    <col min="1" max="1" width="12.28515625" customWidth="1"/>
    <col min="2" max="2" width="13.7109375" customWidth="1"/>
    <col min="3" max="3" width="12.42578125" customWidth="1"/>
    <col min="4" max="4" width="12.85546875" customWidth="1"/>
    <col min="6" max="6" width="12.28515625" customWidth="1"/>
    <col min="7" max="7" width="13.7109375" customWidth="1"/>
    <col min="8" max="8" width="12.42578125" customWidth="1"/>
    <col min="9" max="9" width="12.85546875" customWidth="1"/>
    <col min="11" max="11" width="12.28515625" customWidth="1"/>
    <col min="12" max="12" width="13.7109375" customWidth="1"/>
    <col min="13" max="13" width="12.42578125" customWidth="1"/>
    <col min="14" max="14" width="12.85546875" customWidth="1"/>
    <col min="16" max="16" width="12.28515625" customWidth="1"/>
    <col min="17" max="17" width="13.7109375" customWidth="1"/>
  </cols>
  <sheetData>
    <row r="1" spans="1:17" ht="15.75" thickBot="1" x14ac:dyDescent="0.3">
      <c r="A1" s="155" t="s">
        <v>0</v>
      </c>
      <c r="B1" s="155"/>
      <c r="C1" s="155"/>
      <c r="D1" s="155"/>
      <c r="F1" s="155" t="s">
        <v>0</v>
      </c>
      <c r="G1" s="155"/>
      <c r="H1" s="155"/>
      <c r="I1" s="155"/>
      <c r="K1" s="155" t="s">
        <v>0</v>
      </c>
      <c r="L1" s="155"/>
      <c r="M1" s="155"/>
      <c r="N1" s="155"/>
      <c r="O1" s="47" t="s">
        <v>9</v>
      </c>
      <c r="P1" s="17"/>
    </row>
    <row r="2" spans="1:17" ht="15.75" thickBot="1" x14ac:dyDescent="0.3">
      <c r="A2" s="151" t="s">
        <v>1</v>
      </c>
      <c r="B2" s="156" t="s">
        <v>2</v>
      </c>
      <c r="C2" s="157"/>
      <c r="D2" s="158"/>
      <c r="F2" s="151" t="s">
        <v>1</v>
      </c>
      <c r="G2" s="156" t="s">
        <v>7</v>
      </c>
      <c r="H2" s="157"/>
      <c r="I2" s="158"/>
      <c r="K2" s="151" t="s">
        <v>1</v>
      </c>
      <c r="L2" s="156" t="s">
        <v>8</v>
      </c>
      <c r="M2" s="157"/>
      <c r="N2" s="158"/>
      <c r="P2" s="151" t="s">
        <v>10</v>
      </c>
      <c r="Q2" s="153" t="s">
        <v>11</v>
      </c>
    </row>
    <row r="3" spans="1:17" ht="15.75" thickBot="1" x14ac:dyDescent="0.3">
      <c r="A3" s="240"/>
      <c r="B3" s="1" t="s">
        <v>3</v>
      </c>
      <c r="C3" s="1" t="s">
        <v>4</v>
      </c>
      <c r="D3" s="1" t="s">
        <v>5</v>
      </c>
      <c r="F3" s="240"/>
      <c r="G3" s="1" t="s">
        <v>3</v>
      </c>
      <c r="H3" s="1" t="s">
        <v>4</v>
      </c>
      <c r="I3" s="1" t="s">
        <v>5</v>
      </c>
      <c r="K3" s="152"/>
      <c r="L3" s="1" t="s">
        <v>3</v>
      </c>
      <c r="M3" s="1" t="s">
        <v>4</v>
      </c>
      <c r="N3" s="1" t="s">
        <v>5</v>
      </c>
      <c r="P3" s="152"/>
      <c r="Q3" s="154"/>
    </row>
    <row r="4" spans="1:17" x14ac:dyDescent="0.25">
      <c r="A4" s="16">
        <v>44837</v>
      </c>
      <c r="B4" s="3">
        <v>15.760199999999999</v>
      </c>
      <c r="C4" s="3">
        <v>15.9185</v>
      </c>
      <c r="D4" s="4">
        <v>15.839399999999999</v>
      </c>
      <c r="F4" s="16">
        <v>44837</v>
      </c>
      <c r="G4" s="13">
        <v>15.4842</v>
      </c>
      <c r="H4" s="13">
        <v>15.6372</v>
      </c>
      <c r="I4" s="4">
        <v>15.560700000000001</v>
      </c>
      <c r="K4" s="2">
        <v>44837</v>
      </c>
      <c r="L4" s="3">
        <v>17.6861</v>
      </c>
      <c r="M4" s="3">
        <v>17.870200000000001</v>
      </c>
      <c r="N4" s="4">
        <v>17.778099999999998</v>
      </c>
      <c r="P4" s="18">
        <v>44837</v>
      </c>
      <c r="Q4" s="4">
        <v>20.273099999999999</v>
      </c>
    </row>
    <row r="5" spans="1:17" x14ac:dyDescent="0.25">
      <c r="A5" s="2">
        <v>44838</v>
      </c>
      <c r="B5" s="5">
        <v>15.771000000000001</v>
      </c>
      <c r="C5" s="5">
        <v>15.929500000000001</v>
      </c>
      <c r="D5" s="6">
        <v>15.850300000000001</v>
      </c>
      <c r="F5" s="2">
        <v>44838</v>
      </c>
      <c r="G5" s="14">
        <v>15.5768</v>
      </c>
      <c r="H5" s="14">
        <v>15.7279</v>
      </c>
      <c r="I5" s="6">
        <v>15.6524</v>
      </c>
      <c r="K5" s="2">
        <v>44838</v>
      </c>
      <c r="L5" s="5">
        <v>17.964700000000001</v>
      </c>
      <c r="M5" s="5">
        <v>18.146899999999999</v>
      </c>
      <c r="N5" s="6">
        <v>15.850300000000001</v>
      </c>
      <c r="P5" s="19">
        <v>44838</v>
      </c>
      <c r="Q5" s="6">
        <v>20.3001</v>
      </c>
    </row>
    <row r="6" spans="1:17" x14ac:dyDescent="0.25">
      <c r="A6" s="2">
        <v>44839</v>
      </c>
      <c r="B6" s="5">
        <v>15.8973</v>
      </c>
      <c r="C6" s="5">
        <v>16.057099999999998</v>
      </c>
      <c r="D6" s="6">
        <v>15.9772</v>
      </c>
      <c r="F6" s="2">
        <v>44839</v>
      </c>
      <c r="G6" s="14">
        <v>15.787699999999999</v>
      </c>
      <c r="H6" s="14">
        <v>15.9451</v>
      </c>
      <c r="I6" s="6">
        <v>15.866400000000001</v>
      </c>
      <c r="K6" s="2">
        <v>44839</v>
      </c>
      <c r="L6" s="5">
        <v>18.0959</v>
      </c>
      <c r="M6" s="5">
        <v>18.284199999999998</v>
      </c>
      <c r="N6" s="6">
        <v>18.190100000000001</v>
      </c>
      <c r="P6" s="19">
        <v>44839</v>
      </c>
      <c r="Q6" s="6">
        <v>20.581199999999999</v>
      </c>
    </row>
    <row r="7" spans="1:17" x14ac:dyDescent="0.25">
      <c r="A7" s="2">
        <v>44840</v>
      </c>
      <c r="B7" s="5">
        <v>16.025600000000001</v>
      </c>
      <c r="C7" s="5">
        <v>16.186699999999998</v>
      </c>
      <c r="D7" s="6">
        <v>16.106200000000001</v>
      </c>
      <c r="F7" s="2">
        <v>44840</v>
      </c>
      <c r="G7" s="14">
        <v>15.867100000000001</v>
      </c>
      <c r="H7" s="14">
        <v>16.029499999999999</v>
      </c>
      <c r="I7" s="6">
        <v>15.9483</v>
      </c>
      <c r="K7" s="2">
        <v>44840</v>
      </c>
      <c r="L7" s="5">
        <v>18.1282</v>
      </c>
      <c r="M7" s="5">
        <v>18.3217</v>
      </c>
      <c r="N7" s="6">
        <v>18.224900000000002</v>
      </c>
      <c r="P7" s="19">
        <v>44840</v>
      </c>
      <c r="Q7" s="6">
        <v>20.776800000000001</v>
      </c>
    </row>
    <row r="8" spans="1:17" x14ac:dyDescent="0.25">
      <c r="A8" s="2">
        <v>44841</v>
      </c>
      <c r="B8" s="5">
        <v>16.315000000000001</v>
      </c>
      <c r="C8" s="5">
        <v>16.478999999999999</v>
      </c>
      <c r="D8" s="6">
        <v>16.396999999999998</v>
      </c>
      <c r="F8" s="2">
        <v>44841</v>
      </c>
      <c r="G8" s="14">
        <v>16.007899999999999</v>
      </c>
      <c r="H8" s="14">
        <v>16.1661</v>
      </c>
      <c r="I8" s="6">
        <v>16.087</v>
      </c>
      <c r="K8" s="2">
        <v>44841</v>
      </c>
      <c r="L8" s="5">
        <v>18.282599999999999</v>
      </c>
      <c r="M8" s="5">
        <v>18.472999999999999</v>
      </c>
      <c r="N8" s="6">
        <v>18.377800000000001</v>
      </c>
      <c r="P8" s="19">
        <v>44841</v>
      </c>
      <c r="Q8" s="6">
        <v>21.105699999999999</v>
      </c>
    </row>
    <row r="9" spans="1:17" x14ac:dyDescent="0.25">
      <c r="A9" s="2">
        <v>44845</v>
      </c>
      <c r="B9" s="5">
        <v>16.362400000000001</v>
      </c>
      <c r="C9" s="5">
        <v>16.526800000000001</v>
      </c>
      <c r="D9" s="6">
        <v>16.444600000000001</v>
      </c>
      <c r="F9" s="2">
        <v>44845</v>
      </c>
      <c r="G9" s="14">
        <v>15.8962</v>
      </c>
      <c r="H9" s="14">
        <v>16.0518</v>
      </c>
      <c r="I9" s="6">
        <v>15.974</v>
      </c>
      <c r="K9" s="2">
        <v>44845</v>
      </c>
      <c r="L9" s="5">
        <v>18.075500000000002</v>
      </c>
      <c r="M9" s="5">
        <v>18.2621</v>
      </c>
      <c r="N9" s="6">
        <v>18.168800000000001</v>
      </c>
      <c r="P9" s="19">
        <v>44845</v>
      </c>
      <c r="Q9" s="6">
        <v>21.090900000000001</v>
      </c>
    </row>
    <row r="10" spans="1:17" x14ac:dyDescent="0.25">
      <c r="A10" s="2">
        <v>44846</v>
      </c>
      <c r="B10" s="5">
        <v>16.359000000000002</v>
      </c>
      <c r="C10" s="5">
        <v>16.523399999999999</v>
      </c>
      <c r="D10" s="6">
        <v>16.441199999999998</v>
      </c>
      <c r="F10" s="2">
        <v>44846</v>
      </c>
      <c r="G10" s="5">
        <v>15.891</v>
      </c>
      <c r="H10" s="14">
        <v>16.048100000000002</v>
      </c>
      <c r="I10" s="6">
        <v>15.9695</v>
      </c>
      <c r="K10" s="2">
        <v>44846</v>
      </c>
      <c r="L10" s="5">
        <v>17.998200000000001</v>
      </c>
      <c r="M10" s="5">
        <v>18.185700000000001</v>
      </c>
      <c r="N10" s="6">
        <v>18.091899999999999</v>
      </c>
      <c r="P10" s="19">
        <v>44846</v>
      </c>
      <c r="Q10" s="6">
        <v>20.986999999999998</v>
      </c>
    </row>
    <row r="11" spans="1:17" x14ac:dyDescent="0.25">
      <c r="A11" s="2">
        <v>44847</v>
      </c>
      <c r="B11" s="5">
        <v>16.583200000000001</v>
      </c>
      <c r="C11" s="5">
        <v>16.7499</v>
      </c>
      <c r="D11" s="6">
        <v>16.666599999999999</v>
      </c>
      <c r="F11" s="2">
        <v>44847</v>
      </c>
      <c r="G11" s="14">
        <v>16.093800000000002</v>
      </c>
      <c r="H11" s="14">
        <v>16.2529</v>
      </c>
      <c r="I11" s="6">
        <v>16.173300000000001</v>
      </c>
      <c r="K11" s="2">
        <v>44847</v>
      </c>
      <c r="L11" s="5">
        <v>18.377500000000001</v>
      </c>
      <c r="M11" s="5">
        <v>18.568899999999999</v>
      </c>
      <c r="N11" s="6">
        <v>18.473199999999999</v>
      </c>
      <c r="P11" s="19">
        <v>44847</v>
      </c>
      <c r="Q11" s="6">
        <v>21.2638</v>
      </c>
    </row>
    <row r="12" spans="1:17" x14ac:dyDescent="0.25">
      <c r="A12" s="2">
        <v>44848</v>
      </c>
      <c r="B12" s="5">
        <v>16.416599999999999</v>
      </c>
      <c r="C12" s="5">
        <v>16.581600000000002</v>
      </c>
      <c r="D12" s="6">
        <v>16.499099999999999</v>
      </c>
      <c r="F12" s="2">
        <v>44848</v>
      </c>
      <c r="G12" s="14">
        <v>16.0045</v>
      </c>
      <c r="H12" s="14">
        <v>16.162700000000001</v>
      </c>
      <c r="I12" s="6">
        <v>16.083600000000001</v>
      </c>
      <c r="K12" s="2">
        <v>44848</v>
      </c>
      <c r="L12" s="5">
        <v>18.489999999999998</v>
      </c>
      <c r="M12" s="5">
        <v>18.682500000000001</v>
      </c>
      <c r="N12" s="6">
        <v>18.586300000000001</v>
      </c>
      <c r="P12" s="19">
        <v>44848</v>
      </c>
      <c r="Q12" s="6">
        <v>21.058199999999999</v>
      </c>
    </row>
    <row r="13" spans="1:17" x14ac:dyDescent="0.25">
      <c r="A13" s="2">
        <v>44851</v>
      </c>
      <c r="B13" s="5">
        <v>16.662500000000001</v>
      </c>
      <c r="C13" s="5">
        <v>16.829999999999998</v>
      </c>
      <c r="D13" s="6">
        <v>16.746200000000002</v>
      </c>
      <c r="F13" s="2">
        <v>44851</v>
      </c>
      <c r="G13" s="14">
        <v>16.241099999999999</v>
      </c>
      <c r="H13" s="14">
        <v>16.401599999999998</v>
      </c>
      <c r="I13" s="6">
        <v>16.750699999999998</v>
      </c>
      <c r="K13" s="2">
        <v>44851</v>
      </c>
      <c r="L13" s="5">
        <v>18.750299999999999</v>
      </c>
      <c r="M13" s="5">
        <v>18.945499999999999</v>
      </c>
      <c r="N13" s="6">
        <v>18.847899999999999</v>
      </c>
      <c r="P13" s="19">
        <v>44851</v>
      </c>
      <c r="Q13" s="6">
        <v>21.376300000000001</v>
      </c>
    </row>
    <row r="14" spans="1:17" x14ac:dyDescent="0.25">
      <c r="A14" s="2">
        <v>44852</v>
      </c>
      <c r="B14" s="5">
        <v>16.7849</v>
      </c>
      <c r="C14" s="5">
        <v>16.953600000000002</v>
      </c>
      <c r="D14" s="6">
        <v>16.869299999999999</v>
      </c>
      <c r="F14" s="2">
        <v>44852</v>
      </c>
      <c r="G14" s="14">
        <v>16.5502</v>
      </c>
      <c r="H14" s="14">
        <v>16.710799999999999</v>
      </c>
      <c r="I14" s="6">
        <v>16.630500000000001</v>
      </c>
      <c r="K14" s="2">
        <v>44852</v>
      </c>
      <c r="L14" s="5">
        <v>19.0593</v>
      </c>
      <c r="M14" s="5">
        <v>19.254200000000001</v>
      </c>
      <c r="N14" s="6">
        <v>19.156700000000001</v>
      </c>
      <c r="P14" s="19">
        <v>44852</v>
      </c>
      <c r="Q14" s="6">
        <v>21.536200000000001</v>
      </c>
    </row>
    <row r="15" spans="1:17" x14ac:dyDescent="0.25">
      <c r="A15" s="2">
        <v>44853</v>
      </c>
      <c r="B15" s="5">
        <v>16.7439</v>
      </c>
      <c r="C15" s="5">
        <v>16.912199999999999</v>
      </c>
      <c r="D15" s="6">
        <v>16.828099999999999</v>
      </c>
      <c r="F15" s="2">
        <v>44853</v>
      </c>
      <c r="G15" s="5">
        <v>16.456</v>
      </c>
      <c r="H15" s="5">
        <v>16.620100000000001</v>
      </c>
      <c r="I15" s="6">
        <v>16.538</v>
      </c>
      <c r="K15" s="2">
        <v>44853</v>
      </c>
      <c r="L15" s="5">
        <v>18.8553</v>
      </c>
      <c r="M15" s="5">
        <v>19.051600000000001</v>
      </c>
      <c r="N15" s="6">
        <v>18.953399999999998</v>
      </c>
      <c r="P15" s="19">
        <v>44853</v>
      </c>
      <c r="Q15" s="6">
        <v>21.519300000000001</v>
      </c>
    </row>
    <row r="16" spans="1:17" x14ac:dyDescent="0.25">
      <c r="A16" s="2">
        <v>44854</v>
      </c>
      <c r="B16" s="5">
        <v>16.7318</v>
      </c>
      <c r="C16" s="5">
        <v>16.899999999999999</v>
      </c>
      <c r="D16" s="6">
        <v>16.815899999999999</v>
      </c>
      <c r="F16" s="2">
        <v>44854</v>
      </c>
      <c r="G16" s="14">
        <v>16.378399999999999</v>
      </c>
      <c r="H16" s="14">
        <v>16.538799999999998</v>
      </c>
      <c r="I16" s="6">
        <v>16.458600000000001</v>
      </c>
      <c r="K16" s="2">
        <v>44854</v>
      </c>
      <c r="L16" s="5">
        <v>18.7681</v>
      </c>
      <c r="M16" s="5">
        <v>18.960100000000001</v>
      </c>
      <c r="N16" s="6">
        <v>18.864100000000001</v>
      </c>
      <c r="P16" s="19">
        <v>44854</v>
      </c>
      <c r="Q16" s="6">
        <v>21.459800000000001</v>
      </c>
    </row>
    <row r="17" spans="1:17" x14ac:dyDescent="0.25">
      <c r="A17" s="2">
        <v>44855</v>
      </c>
      <c r="B17" s="5">
        <v>16.846599999999999</v>
      </c>
      <c r="C17" s="5">
        <v>17.015899999999998</v>
      </c>
      <c r="D17" s="6">
        <v>16.9312</v>
      </c>
      <c r="F17" s="2">
        <v>44855</v>
      </c>
      <c r="G17" s="14">
        <v>16.483699999999999</v>
      </c>
      <c r="H17" s="5">
        <v>16.645</v>
      </c>
      <c r="I17" s="6">
        <v>16.564299999999999</v>
      </c>
      <c r="K17" s="2">
        <v>44855</v>
      </c>
      <c r="L17" s="5">
        <v>18.822700000000001</v>
      </c>
      <c r="M17" s="5">
        <v>19.0153</v>
      </c>
      <c r="N17" s="6">
        <v>18.919</v>
      </c>
      <c r="P17" s="19">
        <v>44855</v>
      </c>
      <c r="Q17" s="6">
        <v>21.617999999999999</v>
      </c>
    </row>
    <row r="18" spans="1:17" x14ac:dyDescent="0.25">
      <c r="A18" s="2">
        <v>44858</v>
      </c>
      <c r="B18" s="5">
        <v>17.021599999999999</v>
      </c>
      <c r="C18" s="5">
        <v>17.192699999999999</v>
      </c>
      <c r="D18" s="6">
        <v>17.107099999999999</v>
      </c>
      <c r="F18" s="2">
        <v>44858</v>
      </c>
      <c r="G18" s="14">
        <v>16.7422</v>
      </c>
      <c r="H18" s="14">
        <v>16.909099999999999</v>
      </c>
      <c r="I18" s="6">
        <v>16.825600000000001</v>
      </c>
      <c r="K18" s="2">
        <v>44858</v>
      </c>
      <c r="L18" s="5">
        <v>19.275300000000001</v>
      </c>
      <c r="M18" s="5">
        <v>19.475899999999999</v>
      </c>
      <c r="N18" s="6">
        <v>19.375599999999999</v>
      </c>
      <c r="P18" s="19">
        <v>44858</v>
      </c>
      <c r="Q18" s="6">
        <v>21.773099999999999</v>
      </c>
    </row>
    <row r="19" spans="1:17" x14ac:dyDescent="0.25">
      <c r="A19" s="2">
        <v>44859</v>
      </c>
      <c r="B19" s="5">
        <v>16.852499999999999</v>
      </c>
      <c r="C19" s="5">
        <v>17.021899999999999</v>
      </c>
      <c r="D19" s="6">
        <v>16.937200000000001</v>
      </c>
      <c r="F19" s="2">
        <v>44859</v>
      </c>
      <c r="G19" s="14">
        <v>16.643699999999999</v>
      </c>
      <c r="H19" s="14">
        <v>16.803699999999999</v>
      </c>
      <c r="I19" s="6">
        <v>16.9163</v>
      </c>
      <c r="K19" s="2">
        <v>44859</v>
      </c>
      <c r="L19" s="5">
        <v>19.078700000000001</v>
      </c>
      <c r="M19" s="5">
        <v>19.272200000000002</v>
      </c>
      <c r="N19" s="6">
        <v>19.1755</v>
      </c>
      <c r="P19" s="19">
        <v>44859</v>
      </c>
      <c r="Q19" s="6">
        <v>21.6312</v>
      </c>
    </row>
    <row r="20" spans="1:17" x14ac:dyDescent="0.25">
      <c r="A20" s="2">
        <v>44860</v>
      </c>
      <c r="B20" s="5">
        <v>17.061299999999999</v>
      </c>
      <c r="C20" s="5">
        <v>17.232800000000001</v>
      </c>
      <c r="D20" s="6">
        <v>17.146999999999998</v>
      </c>
      <c r="F20" s="2">
        <v>44860</v>
      </c>
      <c r="G20" s="5">
        <v>17.116</v>
      </c>
      <c r="H20" s="5">
        <v>17.291</v>
      </c>
      <c r="I20" s="6">
        <v>17.203499999999998</v>
      </c>
      <c r="K20" s="2">
        <v>44860</v>
      </c>
      <c r="L20" s="5">
        <v>19.751899999999999</v>
      </c>
      <c r="M20" s="5">
        <v>19.962499999999999</v>
      </c>
      <c r="N20" s="6">
        <v>19.857199999999999</v>
      </c>
      <c r="P20" s="19">
        <v>44860</v>
      </c>
      <c r="Q20" s="6">
        <v>21.9131</v>
      </c>
    </row>
    <row r="21" spans="1:17" x14ac:dyDescent="0.25">
      <c r="A21" s="2">
        <v>44861</v>
      </c>
      <c r="B21" s="5">
        <v>17.095199999999998</v>
      </c>
      <c r="C21" s="5">
        <v>17.266999999999999</v>
      </c>
      <c r="D21" s="6">
        <v>17.181100000000001</v>
      </c>
      <c r="F21" s="2">
        <v>44861</v>
      </c>
      <c r="G21" s="14">
        <v>17.199100000000001</v>
      </c>
      <c r="H21" s="14">
        <v>17.3689</v>
      </c>
      <c r="I21" s="6">
        <v>17.283999999999999</v>
      </c>
      <c r="K21" s="2">
        <v>44861</v>
      </c>
      <c r="L21" s="5">
        <v>19.816800000000001</v>
      </c>
      <c r="M21" s="5">
        <v>20.0228</v>
      </c>
      <c r="N21" s="6">
        <v>19.919799999999999</v>
      </c>
      <c r="P21" s="19">
        <v>44861</v>
      </c>
      <c r="Q21" s="6">
        <v>22.174900000000001</v>
      </c>
    </row>
    <row r="22" spans="1:17" x14ac:dyDescent="0.25">
      <c r="A22" s="2">
        <v>44862</v>
      </c>
      <c r="B22" s="5">
        <v>17.2242</v>
      </c>
      <c r="C22" s="5">
        <v>17.397300000000001</v>
      </c>
      <c r="D22" s="6">
        <v>17.310700000000001</v>
      </c>
      <c r="F22" s="2">
        <v>44862</v>
      </c>
      <c r="G22" s="14">
        <v>17.1187</v>
      </c>
      <c r="H22" s="14">
        <v>17.289300000000001</v>
      </c>
      <c r="I22" s="6">
        <v>17.204000000000001</v>
      </c>
      <c r="K22" s="2">
        <v>44862</v>
      </c>
      <c r="L22" s="5">
        <v>19.838799999999999</v>
      </c>
      <c r="M22" s="5">
        <v>20.045200000000001</v>
      </c>
      <c r="N22" s="6">
        <v>19.942</v>
      </c>
      <c r="P22" s="19">
        <v>44862</v>
      </c>
      <c r="Q22" s="6">
        <v>22.336400000000001</v>
      </c>
    </row>
    <row r="23" spans="1:17" ht="15.75" thickBot="1" x14ac:dyDescent="0.3">
      <c r="A23" s="7">
        <v>44865</v>
      </c>
      <c r="B23" s="8">
        <v>17.260400000000001</v>
      </c>
      <c r="C23" s="8">
        <v>17.433800000000002</v>
      </c>
      <c r="D23" s="9">
        <v>17.347100000000001</v>
      </c>
      <c r="F23" s="7">
        <v>44865</v>
      </c>
      <c r="G23" s="15">
        <v>17.125599999999999</v>
      </c>
      <c r="H23" s="15">
        <v>17.296199999999999</v>
      </c>
      <c r="I23" s="9">
        <v>17.333600000000001</v>
      </c>
      <c r="K23" s="7">
        <v>44865</v>
      </c>
      <c r="L23" s="8">
        <v>19.959900000000001</v>
      </c>
      <c r="M23" s="8">
        <v>20.167400000000001</v>
      </c>
      <c r="N23" s="9">
        <v>20.063700000000001</v>
      </c>
      <c r="P23" s="20">
        <v>44865</v>
      </c>
      <c r="Q23" s="9">
        <v>22.297000000000001</v>
      </c>
    </row>
    <row r="24" spans="1:17" ht="15.75" thickBot="1" x14ac:dyDescent="0.3">
      <c r="A24" s="10" t="s">
        <v>6</v>
      </c>
      <c r="B24" s="11">
        <f>AVERAGE(B4:B23)</f>
        <v>16.588760000000001</v>
      </c>
      <c r="C24" s="11">
        <f>AVERAGE(C4:C23)</f>
        <v>16.755485</v>
      </c>
      <c r="D24" s="12">
        <f>AVERAGE(D4:D23)</f>
        <v>16.672125000000001</v>
      </c>
      <c r="F24" s="10" t="s">
        <v>6</v>
      </c>
      <c r="G24" s="11">
        <f>AVERAGE(G4:G23)</f>
        <v>16.333194999999996</v>
      </c>
      <c r="H24" s="11">
        <f>AVERAGE(H4:H23)</f>
        <v>16.494790000000002</v>
      </c>
      <c r="I24" s="12">
        <f>AVERAGE(I4:I23)</f>
        <v>16.451215000000001</v>
      </c>
      <c r="K24" s="10" t="s">
        <v>6</v>
      </c>
      <c r="L24" s="11">
        <f>AVERAGE(L4:L23)</f>
        <v>18.753790000000002</v>
      </c>
      <c r="M24" s="11">
        <f>AVERAGE(M4:M23)</f>
        <v>18.948395000000001</v>
      </c>
      <c r="N24" s="11">
        <f>AVERAGE(N4:N23)</f>
        <v>18.740815000000001</v>
      </c>
      <c r="P24" s="21" t="s">
        <v>6</v>
      </c>
      <c r="Q24" s="12">
        <f>AVERAGE(Q4:Q23)</f>
        <v>21.353604999999998</v>
      </c>
    </row>
    <row r="26" spans="1:17" x14ac:dyDescent="0.25">
      <c r="A26" s="45" t="s">
        <v>12</v>
      </c>
      <c r="C26" s="45"/>
      <c r="D26" s="46"/>
      <c r="K26" s="45" t="s">
        <v>12</v>
      </c>
      <c r="L26" s="45"/>
    </row>
    <row r="27" spans="1:17" x14ac:dyDescent="0.25">
      <c r="A27" s="45" t="s">
        <v>13</v>
      </c>
      <c r="C27" s="45"/>
      <c r="D27" s="46"/>
      <c r="K27" s="45" t="s">
        <v>13</v>
      </c>
      <c r="L27" s="45"/>
    </row>
    <row r="28" spans="1:17" x14ac:dyDescent="0.25">
      <c r="A28" s="45" t="s">
        <v>14</v>
      </c>
      <c r="C28" s="45"/>
      <c r="D28" s="46"/>
      <c r="K28" s="45" t="s">
        <v>14</v>
      </c>
      <c r="L28" s="45"/>
    </row>
    <row r="32" spans="1:17" ht="15.75" thickBot="1" x14ac:dyDescent="0.3">
      <c r="A32" s="155" t="s">
        <v>0</v>
      </c>
      <c r="B32" s="155"/>
      <c r="C32" s="155"/>
      <c r="D32" s="155"/>
      <c r="F32" s="155" t="s">
        <v>0</v>
      </c>
      <c r="G32" s="155"/>
      <c r="H32" s="155"/>
      <c r="I32" s="155"/>
      <c r="K32" s="155" t="s">
        <v>0</v>
      </c>
      <c r="L32" s="155"/>
      <c r="M32" s="155"/>
      <c r="N32" s="155"/>
      <c r="O32" s="47" t="s">
        <v>9</v>
      </c>
      <c r="P32" s="17"/>
    </row>
    <row r="33" spans="1:17" ht="15.75" thickBot="1" x14ac:dyDescent="0.3">
      <c r="A33" s="151" t="s">
        <v>1</v>
      </c>
      <c r="B33" s="156" t="s">
        <v>2</v>
      </c>
      <c r="C33" s="157"/>
      <c r="D33" s="158"/>
      <c r="F33" s="151" t="s">
        <v>1</v>
      </c>
      <c r="G33" s="156" t="s">
        <v>7</v>
      </c>
      <c r="H33" s="157"/>
      <c r="I33" s="158"/>
      <c r="K33" s="151" t="s">
        <v>1</v>
      </c>
      <c r="L33" s="156" t="s">
        <v>8</v>
      </c>
      <c r="M33" s="157"/>
      <c r="N33" s="158"/>
      <c r="P33" s="151" t="s">
        <v>10</v>
      </c>
      <c r="Q33" s="153" t="s">
        <v>11</v>
      </c>
    </row>
    <row r="34" spans="1:17" ht="15.75" thickBot="1" x14ac:dyDescent="0.3">
      <c r="A34" s="152"/>
      <c r="B34" s="1" t="s">
        <v>3</v>
      </c>
      <c r="C34" s="1" t="s">
        <v>4</v>
      </c>
      <c r="D34" s="1" t="s">
        <v>5</v>
      </c>
      <c r="F34" s="152"/>
      <c r="G34" s="1" t="s">
        <v>3</v>
      </c>
      <c r="H34" s="1" t="s">
        <v>4</v>
      </c>
      <c r="I34" s="1" t="s">
        <v>5</v>
      </c>
      <c r="K34" s="152"/>
      <c r="L34" s="1" t="s">
        <v>3</v>
      </c>
      <c r="M34" s="1" t="s">
        <v>4</v>
      </c>
      <c r="N34" s="1" t="s">
        <v>5</v>
      </c>
      <c r="P34" s="152"/>
      <c r="Q34" s="154"/>
    </row>
    <row r="35" spans="1:17" x14ac:dyDescent="0.25">
      <c r="A35" s="2">
        <v>44837</v>
      </c>
      <c r="B35" s="22">
        <f>15.7602*1000</f>
        <v>15760.199999999999</v>
      </c>
      <c r="C35" s="22">
        <f>15.9185*1000</f>
        <v>15918.5</v>
      </c>
      <c r="D35" s="23">
        <f>15.8394*1000</f>
        <v>15839.4</v>
      </c>
      <c r="F35" s="18">
        <v>44837</v>
      </c>
      <c r="G35" s="30">
        <f>15.4842*1000</f>
        <v>15484.199999999999</v>
      </c>
      <c r="H35" s="30">
        <f>15.6372*1000</f>
        <v>15637.2</v>
      </c>
      <c r="I35" s="31">
        <f>15.5607*1000</f>
        <v>15560.7</v>
      </c>
      <c r="K35" s="18">
        <v>44837</v>
      </c>
      <c r="L35" s="22">
        <f>17.6861*1000</f>
        <v>17686.099999999999</v>
      </c>
      <c r="M35" s="22">
        <f>17.8702*1000</f>
        <v>17870.2</v>
      </c>
      <c r="N35" s="23">
        <f>17.7781*1000</f>
        <v>17778.099999999999</v>
      </c>
      <c r="P35" s="18">
        <v>44837</v>
      </c>
      <c r="Q35" s="23">
        <f>20.2731*1000</f>
        <v>20273.099999999999</v>
      </c>
    </row>
    <row r="36" spans="1:17" x14ac:dyDescent="0.25">
      <c r="A36" s="2">
        <v>44838</v>
      </c>
      <c r="B36" s="24">
        <f>15.771*1000</f>
        <v>15771</v>
      </c>
      <c r="C36" s="24">
        <f>15.9295*1000</f>
        <v>15929.5</v>
      </c>
      <c r="D36" s="25">
        <f>15.8503*1000</f>
        <v>15850.300000000001</v>
      </c>
      <c r="F36" s="19">
        <v>44838</v>
      </c>
      <c r="G36" s="32">
        <f>15.5768*1000</f>
        <v>15576.800000000001</v>
      </c>
      <c r="H36" s="32">
        <f>15.7279*1000</f>
        <v>15727.9</v>
      </c>
      <c r="I36" s="33">
        <f>15.6524*1000</f>
        <v>15652.4</v>
      </c>
      <c r="K36" s="19">
        <v>44838</v>
      </c>
      <c r="L36" s="24">
        <f>17.9647*1000</f>
        <v>17964.7</v>
      </c>
      <c r="M36" s="24">
        <f>18.1469*1000</f>
        <v>18146.899999999998</v>
      </c>
      <c r="N36" s="25">
        <f>15.8503*1000</f>
        <v>15850.300000000001</v>
      </c>
      <c r="P36" s="19">
        <v>44838</v>
      </c>
      <c r="Q36" s="25">
        <f>20.3001*1000</f>
        <v>20300.100000000002</v>
      </c>
    </row>
    <row r="37" spans="1:17" x14ac:dyDescent="0.25">
      <c r="A37" s="2">
        <v>44839</v>
      </c>
      <c r="B37" s="24">
        <f>15.8973*1000</f>
        <v>15897.3</v>
      </c>
      <c r="C37" s="24">
        <f>16.0571*1000</f>
        <v>16057.099999999999</v>
      </c>
      <c r="D37" s="25">
        <f>15.9772*1000</f>
        <v>15977.2</v>
      </c>
      <c r="F37" s="19">
        <v>44839</v>
      </c>
      <c r="G37" s="32">
        <f>15.7877*1000</f>
        <v>15787.699999999999</v>
      </c>
      <c r="H37" s="32">
        <f>15.9451*1000</f>
        <v>15945.1</v>
      </c>
      <c r="I37" s="33">
        <f>15.8664*1000</f>
        <v>15866.4</v>
      </c>
      <c r="K37" s="19">
        <v>44839</v>
      </c>
      <c r="L37" s="24">
        <f>18.0959*1000</f>
        <v>18095.900000000001</v>
      </c>
      <c r="M37" s="24">
        <f>18.2842*1000</f>
        <v>18284.199999999997</v>
      </c>
      <c r="N37" s="25">
        <f>18.1901*1000</f>
        <v>18190.100000000002</v>
      </c>
      <c r="P37" s="19">
        <v>44839</v>
      </c>
      <c r="Q37" s="25">
        <f>20.5812*1000</f>
        <v>20581.2</v>
      </c>
    </row>
    <row r="38" spans="1:17" x14ac:dyDescent="0.25">
      <c r="A38" s="2">
        <v>44840</v>
      </c>
      <c r="B38" s="24">
        <f>16.0256*1000</f>
        <v>16025.6</v>
      </c>
      <c r="C38" s="24">
        <f>16.1867*1000</f>
        <v>16186.699999999999</v>
      </c>
      <c r="D38" s="25">
        <f>16.1062*1000</f>
        <v>16106.2</v>
      </c>
      <c r="F38" s="19">
        <v>44840</v>
      </c>
      <c r="G38" s="32">
        <f>15.8671*1000</f>
        <v>15867.1</v>
      </c>
      <c r="H38" s="32">
        <f>16.0295*1000</f>
        <v>16029.499999999998</v>
      </c>
      <c r="I38" s="33">
        <f>15.9483*1000</f>
        <v>15948.3</v>
      </c>
      <c r="K38" s="19">
        <v>44840</v>
      </c>
      <c r="L38" s="24">
        <f>18.1282*1000</f>
        <v>18128.2</v>
      </c>
      <c r="M38" s="24">
        <f>18.3217*1000</f>
        <v>18321.7</v>
      </c>
      <c r="N38" s="25">
        <f>18.2249*1000</f>
        <v>18224.900000000001</v>
      </c>
      <c r="P38" s="19">
        <v>44840</v>
      </c>
      <c r="Q38" s="25">
        <f>20.7768*1000</f>
        <v>20776.800000000003</v>
      </c>
    </row>
    <row r="39" spans="1:17" x14ac:dyDescent="0.25">
      <c r="A39" s="2">
        <v>44841</v>
      </c>
      <c r="B39" s="24">
        <f>16.315*1000</f>
        <v>16315.000000000002</v>
      </c>
      <c r="C39" s="24">
        <f>16.479*1000</f>
        <v>16479</v>
      </c>
      <c r="D39" s="25">
        <f>16.397*1000</f>
        <v>16397</v>
      </c>
      <c r="F39" s="19">
        <v>44841</v>
      </c>
      <c r="G39" s="32">
        <f>16.0079*1000</f>
        <v>16007.9</v>
      </c>
      <c r="H39" s="32">
        <f>16.1661*1000</f>
        <v>16166.1</v>
      </c>
      <c r="I39" s="33">
        <f>16.087*1000</f>
        <v>16087</v>
      </c>
      <c r="K39" s="19">
        <v>44841</v>
      </c>
      <c r="L39" s="24">
        <f>18.2826*1000</f>
        <v>18282.599999999999</v>
      </c>
      <c r="M39" s="24">
        <f>18.473*1000</f>
        <v>18473</v>
      </c>
      <c r="N39" s="25">
        <f>18.3778*1000</f>
        <v>18377.8</v>
      </c>
      <c r="P39" s="19">
        <v>44841</v>
      </c>
      <c r="Q39" s="25">
        <f>21.1057*1000</f>
        <v>21105.699999999997</v>
      </c>
    </row>
    <row r="40" spans="1:17" x14ac:dyDescent="0.25">
      <c r="A40" s="2">
        <v>44845</v>
      </c>
      <c r="B40" s="24">
        <f>16.3624*1000</f>
        <v>16362.400000000001</v>
      </c>
      <c r="C40" s="24">
        <f>16.5268*1000</f>
        <v>16526.800000000003</v>
      </c>
      <c r="D40" s="25">
        <f>16.4446*1000</f>
        <v>16444.600000000002</v>
      </c>
      <c r="F40" s="19">
        <v>44845</v>
      </c>
      <c r="G40" s="32">
        <f>15.8962*1000</f>
        <v>15896.2</v>
      </c>
      <c r="H40" s="32">
        <f>16.0518*1000</f>
        <v>16051.8</v>
      </c>
      <c r="I40" s="33">
        <f>15.974*1000</f>
        <v>15974</v>
      </c>
      <c r="K40" s="19">
        <v>44845</v>
      </c>
      <c r="L40" s="24">
        <f>18.0755*1000</f>
        <v>18075.5</v>
      </c>
      <c r="M40" s="24">
        <f>18.2621*1000</f>
        <v>18262.099999999999</v>
      </c>
      <c r="N40" s="25">
        <f>18.1688*1000</f>
        <v>18168.8</v>
      </c>
      <c r="P40" s="19">
        <v>44845</v>
      </c>
      <c r="Q40" s="25">
        <f>21.0909*1000</f>
        <v>21090.9</v>
      </c>
    </row>
    <row r="41" spans="1:17" x14ac:dyDescent="0.25">
      <c r="A41" s="2">
        <v>44846</v>
      </c>
      <c r="B41" s="24">
        <f>16.359*1000</f>
        <v>16359.000000000002</v>
      </c>
      <c r="C41" s="24">
        <f>16.5234*1000</f>
        <v>16523.399999999998</v>
      </c>
      <c r="D41" s="25">
        <f>16.4412*1000</f>
        <v>16441.199999999997</v>
      </c>
      <c r="F41" s="19">
        <v>44846</v>
      </c>
      <c r="G41" s="32">
        <f>15.891*1000</f>
        <v>15891</v>
      </c>
      <c r="H41" s="32">
        <f>16.0481*1000</f>
        <v>16048.100000000002</v>
      </c>
      <c r="I41" s="33">
        <f>15.9695*1000</f>
        <v>15969.5</v>
      </c>
      <c r="K41" s="19">
        <v>44846</v>
      </c>
      <c r="L41" s="24">
        <f>17.9982*1000</f>
        <v>17998.2</v>
      </c>
      <c r="M41" s="24">
        <f>18.1857*1000</f>
        <v>18185.7</v>
      </c>
      <c r="N41" s="25">
        <f>18.0919*1000</f>
        <v>18091.899999999998</v>
      </c>
      <c r="P41" s="19">
        <v>44846</v>
      </c>
      <c r="Q41" s="25">
        <f>20.987*1000</f>
        <v>20987</v>
      </c>
    </row>
    <row r="42" spans="1:17" x14ac:dyDescent="0.25">
      <c r="A42" s="2">
        <v>44847</v>
      </c>
      <c r="B42" s="24">
        <f>16.5832*1000</f>
        <v>16583.2</v>
      </c>
      <c r="C42" s="24">
        <f>16.7499*1000</f>
        <v>16749.900000000001</v>
      </c>
      <c r="D42" s="25">
        <f>16.6666*1000</f>
        <v>16666.599999999999</v>
      </c>
      <c r="F42" s="19">
        <v>44847</v>
      </c>
      <c r="G42" s="32">
        <f>16.0938*1000</f>
        <v>16093.800000000001</v>
      </c>
      <c r="H42" s="32">
        <f>16.2529*1000</f>
        <v>16252.9</v>
      </c>
      <c r="I42" s="33">
        <f>16.1733*1000</f>
        <v>16173.300000000001</v>
      </c>
      <c r="K42" s="19">
        <v>44847</v>
      </c>
      <c r="L42" s="24">
        <f>18.3775*1000</f>
        <v>18377.5</v>
      </c>
      <c r="M42" s="24">
        <f>18.5689*1000</f>
        <v>18568.899999999998</v>
      </c>
      <c r="N42" s="25">
        <f>18.4732*1000</f>
        <v>18473.199999999997</v>
      </c>
      <c r="P42" s="19">
        <v>44847</v>
      </c>
      <c r="Q42" s="25">
        <f>21.2638*1000</f>
        <v>21263.8</v>
      </c>
    </row>
    <row r="43" spans="1:17" x14ac:dyDescent="0.25">
      <c r="A43" s="2">
        <v>44848</v>
      </c>
      <c r="B43" s="24">
        <f>16.4166*1000</f>
        <v>16416.599999999999</v>
      </c>
      <c r="C43" s="24">
        <f>16.5816*1000</f>
        <v>16581.600000000002</v>
      </c>
      <c r="D43" s="25">
        <f>16.4991*1000</f>
        <v>16499.099999999999</v>
      </c>
      <c r="F43" s="19">
        <v>44848</v>
      </c>
      <c r="G43" s="32">
        <f>16.0045*1000</f>
        <v>16004.5</v>
      </c>
      <c r="H43" s="32">
        <f>16.1627*1000</f>
        <v>16162.7</v>
      </c>
      <c r="I43" s="33">
        <f>16.0836*1000</f>
        <v>16083.6</v>
      </c>
      <c r="K43" s="19">
        <v>44848</v>
      </c>
      <c r="L43" s="24">
        <f>18.49*1000</f>
        <v>18490</v>
      </c>
      <c r="M43" s="24">
        <f>18.6825*1000</f>
        <v>18682.5</v>
      </c>
      <c r="N43" s="25">
        <f>18.5863*1000</f>
        <v>18586.300000000003</v>
      </c>
      <c r="P43" s="19">
        <v>44848</v>
      </c>
      <c r="Q43" s="25">
        <f>21.0582*1000</f>
        <v>21058.2</v>
      </c>
    </row>
    <row r="44" spans="1:17" x14ac:dyDescent="0.25">
      <c r="A44" s="2">
        <v>44851</v>
      </c>
      <c r="B44" s="24">
        <f>16.6625*1000</f>
        <v>16662.5</v>
      </c>
      <c r="C44" s="24">
        <f>16.83*1000</f>
        <v>16830</v>
      </c>
      <c r="D44" s="25">
        <f>16.7462*1000</f>
        <v>16746.2</v>
      </c>
      <c r="F44" s="19">
        <v>44851</v>
      </c>
      <c r="G44" s="32">
        <f>16.2411*1000</f>
        <v>16241.099999999999</v>
      </c>
      <c r="H44" s="32">
        <f>16.4016*1000</f>
        <v>16401.599999999999</v>
      </c>
      <c r="I44" s="33">
        <f>16.7507*1000</f>
        <v>16750.699999999997</v>
      </c>
      <c r="K44" s="19">
        <v>44851</v>
      </c>
      <c r="L44" s="24">
        <f>18.7503*1000</f>
        <v>18750.3</v>
      </c>
      <c r="M44" s="24">
        <f>18.9455*1000</f>
        <v>18945.5</v>
      </c>
      <c r="N44" s="25">
        <f>18.8479*1000</f>
        <v>18847.899999999998</v>
      </c>
      <c r="P44" s="19">
        <v>44851</v>
      </c>
      <c r="Q44" s="25">
        <f>21.3763*1000</f>
        <v>21376.3</v>
      </c>
    </row>
    <row r="45" spans="1:17" x14ac:dyDescent="0.25">
      <c r="A45" s="2">
        <v>44852</v>
      </c>
      <c r="B45" s="24">
        <f>16.7849*1000</f>
        <v>16784.900000000001</v>
      </c>
      <c r="C45" s="24">
        <f>16.9536*1000</f>
        <v>16953.600000000002</v>
      </c>
      <c r="D45" s="25">
        <f>16.8693*1000</f>
        <v>16869.3</v>
      </c>
      <c r="F45" s="19">
        <v>44852</v>
      </c>
      <c r="G45" s="32">
        <f>16.5502*1000</f>
        <v>16550.2</v>
      </c>
      <c r="H45" s="32">
        <f>16.7108*1000</f>
        <v>16710.8</v>
      </c>
      <c r="I45" s="33">
        <f>16.6305*1000</f>
        <v>16630.5</v>
      </c>
      <c r="K45" s="19">
        <v>44852</v>
      </c>
      <c r="L45" s="24">
        <f>19.0593*1000</f>
        <v>19059.3</v>
      </c>
      <c r="M45" s="24">
        <f>19.2542*1000</f>
        <v>19254.2</v>
      </c>
      <c r="N45" s="25">
        <f>19.1567*1000</f>
        <v>19156.7</v>
      </c>
      <c r="P45" s="19">
        <v>44852</v>
      </c>
      <c r="Q45" s="25">
        <f>21.5362*1000</f>
        <v>21536.2</v>
      </c>
    </row>
    <row r="46" spans="1:17" x14ac:dyDescent="0.25">
      <c r="A46" s="2">
        <v>44853</v>
      </c>
      <c r="B46" s="24">
        <f>16.7439*1000</f>
        <v>16743.900000000001</v>
      </c>
      <c r="C46" s="24">
        <f>16.9122*1000</f>
        <v>16912.199999999997</v>
      </c>
      <c r="D46" s="25">
        <f>16.8281*1000</f>
        <v>16828.099999999999</v>
      </c>
      <c r="F46" s="19">
        <v>44853</v>
      </c>
      <c r="G46" s="32">
        <f>16.456*1000</f>
        <v>16456</v>
      </c>
      <c r="H46" s="32">
        <f>16.6201*1000</f>
        <v>16620.100000000002</v>
      </c>
      <c r="I46" s="33">
        <f>16.538*1000</f>
        <v>16538</v>
      </c>
      <c r="K46" s="19">
        <v>44853</v>
      </c>
      <c r="L46" s="24">
        <f>18.8553*1000</f>
        <v>18855.3</v>
      </c>
      <c r="M46" s="24">
        <f>19.0516*1000</f>
        <v>19051.600000000002</v>
      </c>
      <c r="N46" s="25">
        <f>18.9534*1000</f>
        <v>18953.399999999998</v>
      </c>
      <c r="P46" s="19">
        <v>44853</v>
      </c>
      <c r="Q46" s="25">
        <f>21.5193*1000</f>
        <v>21519.300000000003</v>
      </c>
    </row>
    <row r="47" spans="1:17" x14ac:dyDescent="0.25">
      <c r="A47" s="2">
        <v>44854</v>
      </c>
      <c r="B47" s="24">
        <f>16.7318*1000</f>
        <v>16731.8</v>
      </c>
      <c r="C47" s="24">
        <f>16.9*1000</f>
        <v>16900</v>
      </c>
      <c r="D47" s="25">
        <f>16.8159*1000</f>
        <v>16815.899999999998</v>
      </c>
      <c r="F47" s="19">
        <v>44854</v>
      </c>
      <c r="G47" s="32">
        <f>16.3784*1000</f>
        <v>16378.4</v>
      </c>
      <c r="H47" s="32">
        <f>16.5388*1000</f>
        <v>16538.8</v>
      </c>
      <c r="I47" s="33">
        <f>16.4586*1000</f>
        <v>16458.600000000002</v>
      </c>
      <c r="K47" s="19">
        <v>44854</v>
      </c>
      <c r="L47" s="24">
        <f>18.7681*1000</f>
        <v>18768.100000000002</v>
      </c>
      <c r="M47" s="24">
        <f>18.9601*1000</f>
        <v>18960.100000000002</v>
      </c>
      <c r="N47" s="25">
        <f>18.8641*1000</f>
        <v>18864.100000000002</v>
      </c>
      <c r="P47" s="19">
        <v>44854</v>
      </c>
      <c r="Q47" s="25">
        <f>21.4598*1000</f>
        <v>21459.800000000003</v>
      </c>
    </row>
    <row r="48" spans="1:17" x14ac:dyDescent="0.25">
      <c r="A48" s="2">
        <v>44855</v>
      </c>
      <c r="B48" s="24">
        <f>16.8466*1000</f>
        <v>16846.599999999999</v>
      </c>
      <c r="C48" s="24">
        <f>17.0159*1000</f>
        <v>17015.899999999998</v>
      </c>
      <c r="D48" s="25">
        <f>16.9312*1000</f>
        <v>16931.2</v>
      </c>
      <c r="F48" s="19">
        <v>44855</v>
      </c>
      <c r="G48" s="32">
        <f>16.4837*1000</f>
        <v>16483.699999999997</v>
      </c>
      <c r="H48" s="32">
        <f>16.645*1000</f>
        <v>16645</v>
      </c>
      <c r="I48" s="33">
        <f>16.5643*1000</f>
        <v>16564.3</v>
      </c>
      <c r="K48" s="19">
        <v>44855</v>
      </c>
      <c r="L48" s="24">
        <f>18.8227*1000</f>
        <v>18822.7</v>
      </c>
      <c r="M48" s="24">
        <f>19.0153*1000</f>
        <v>19015.3</v>
      </c>
      <c r="N48" s="25">
        <f>18.919*1000</f>
        <v>18919</v>
      </c>
      <c r="P48" s="19">
        <v>44855</v>
      </c>
      <c r="Q48" s="25">
        <f>21.618*1000</f>
        <v>21618</v>
      </c>
    </row>
    <row r="49" spans="1:17" x14ac:dyDescent="0.25">
      <c r="A49" s="2">
        <v>44858</v>
      </c>
      <c r="B49" s="24">
        <f>17.0216*1000</f>
        <v>17021.599999999999</v>
      </c>
      <c r="C49" s="24">
        <f>17.1927*1000</f>
        <v>17192.699999999997</v>
      </c>
      <c r="D49" s="25">
        <f>17.1071*1000</f>
        <v>17107.099999999999</v>
      </c>
      <c r="F49" s="19">
        <v>44858</v>
      </c>
      <c r="G49" s="32">
        <f>16.7422*1000</f>
        <v>16742.2</v>
      </c>
      <c r="H49" s="32">
        <f>16.9091*1000</f>
        <v>16909.099999999999</v>
      </c>
      <c r="I49" s="33">
        <f>16.8256*1000</f>
        <v>16825.600000000002</v>
      </c>
      <c r="K49" s="19">
        <v>44858</v>
      </c>
      <c r="L49" s="24">
        <f>19.2753*1000</f>
        <v>19275.300000000003</v>
      </c>
      <c r="M49" s="24">
        <f>19.4759*1000</f>
        <v>19475.899999999998</v>
      </c>
      <c r="N49" s="25">
        <f>19.3756*1000</f>
        <v>19375.599999999999</v>
      </c>
      <c r="P49" s="19">
        <v>44858</v>
      </c>
      <c r="Q49" s="25">
        <f>21.7731*1000</f>
        <v>21773.1</v>
      </c>
    </row>
    <row r="50" spans="1:17" x14ac:dyDescent="0.25">
      <c r="A50" s="2">
        <v>44859</v>
      </c>
      <c r="B50" s="24">
        <f>16.8525*1000</f>
        <v>16852.5</v>
      </c>
      <c r="C50" s="24">
        <f>17.0219*1000</f>
        <v>17021.899999999998</v>
      </c>
      <c r="D50" s="25">
        <f>16.9372*1000</f>
        <v>16937.2</v>
      </c>
      <c r="F50" s="19">
        <v>44859</v>
      </c>
      <c r="G50" s="32">
        <f>16.6437*1000</f>
        <v>16643.7</v>
      </c>
      <c r="H50" s="32">
        <f>16.8037*1000</f>
        <v>16803.7</v>
      </c>
      <c r="I50" s="33">
        <f>16.9163*1000</f>
        <v>16916.3</v>
      </c>
      <c r="K50" s="19">
        <v>44859</v>
      </c>
      <c r="L50" s="24">
        <f>19.0787*1000</f>
        <v>19078.7</v>
      </c>
      <c r="M50" s="24">
        <f>19.2722*1000</f>
        <v>19272.2</v>
      </c>
      <c r="N50" s="25">
        <f>19.1755*1000</f>
        <v>19175.5</v>
      </c>
      <c r="P50" s="19">
        <v>44859</v>
      </c>
      <c r="Q50" s="25">
        <f>21.6312*1000</f>
        <v>21631.200000000001</v>
      </c>
    </row>
    <row r="51" spans="1:17" x14ac:dyDescent="0.25">
      <c r="A51" s="2">
        <v>44860</v>
      </c>
      <c r="B51" s="24">
        <f>17.0613*1000</f>
        <v>17061.3</v>
      </c>
      <c r="C51" s="24">
        <f>17.2328*1000</f>
        <v>17232.8</v>
      </c>
      <c r="D51" s="25">
        <f>17.147*1000</f>
        <v>17147</v>
      </c>
      <c r="F51" s="19">
        <v>44860</v>
      </c>
      <c r="G51" s="32">
        <f>17.116*1000</f>
        <v>17116</v>
      </c>
      <c r="H51" s="32">
        <f>17.291*1000</f>
        <v>17291</v>
      </c>
      <c r="I51" s="33">
        <f>17.2035*1000</f>
        <v>17203.5</v>
      </c>
      <c r="K51" s="19">
        <v>44860</v>
      </c>
      <c r="L51" s="24">
        <f>19.7519*1000</f>
        <v>19751.899999999998</v>
      </c>
      <c r="M51" s="24">
        <f>19.9625*1000</f>
        <v>19962.5</v>
      </c>
      <c r="N51" s="25">
        <f>19.8572*1000</f>
        <v>19857.199999999997</v>
      </c>
      <c r="P51" s="19">
        <v>44860</v>
      </c>
      <c r="Q51" s="25">
        <f>21.9131*1000</f>
        <v>21913.1</v>
      </c>
    </row>
    <row r="52" spans="1:17" x14ac:dyDescent="0.25">
      <c r="A52" s="2">
        <v>44861</v>
      </c>
      <c r="B52" s="24">
        <f>17.0952*1000</f>
        <v>17095.199999999997</v>
      </c>
      <c r="C52" s="24">
        <f>17.267*1000</f>
        <v>17267</v>
      </c>
      <c r="D52" s="25">
        <f>17.1811*1000</f>
        <v>17181.100000000002</v>
      </c>
      <c r="F52" s="19">
        <v>44861</v>
      </c>
      <c r="G52" s="32">
        <f>17.1991*1000</f>
        <v>17199.100000000002</v>
      </c>
      <c r="H52" s="32">
        <f>17.368*1000</f>
        <v>17368</v>
      </c>
      <c r="I52" s="33">
        <f>17.284*1000</f>
        <v>17284</v>
      </c>
      <c r="K52" s="19">
        <v>44861</v>
      </c>
      <c r="L52" s="24">
        <f>19.8168*1000</f>
        <v>19816.8</v>
      </c>
      <c r="M52" s="24">
        <f>20.0228*1000</f>
        <v>20022.8</v>
      </c>
      <c r="N52" s="25">
        <f>19.9198*1000</f>
        <v>19919.8</v>
      </c>
      <c r="P52" s="19">
        <v>44861</v>
      </c>
      <c r="Q52" s="25">
        <f>22.1749*1000</f>
        <v>22174.9</v>
      </c>
    </row>
    <row r="53" spans="1:17" x14ac:dyDescent="0.25">
      <c r="A53" s="2">
        <v>44862</v>
      </c>
      <c r="B53" s="24">
        <f>17.2242*1000</f>
        <v>17224.2</v>
      </c>
      <c r="C53" s="24">
        <f>17.3973*1000</f>
        <v>17397.300000000003</v>
      </c>
      <c r="D53" s="25">
        <f>17.3107*1000</f>
        <v>17310.7</v>
      </c>
      <c r="F53" s="19">
        <v>44862</v>
      </c>
      <c r="G53" s="32">
        <f>17.1187*1000</f>
        <v>17118.7</v>
      </c>
      <c r="H53" s="32">
        <f>17.2893*1000</f>
        <v>17289.3</v>
      </c>
      <c r="I53" s="33">
        <f>17.204*1000</f>
        <v>17204</v>
      </c>
      <c r="K53" s="19">
        <v>44862</v>
      </c>
      <c r="L53" s="24">
        <f>19.8388*1000</f>
        <v>19838.8</v>
      </c>
      <c r="M53" s="24">
        <f>20.0452*1000</f>
        <v>20045.2</v>
      </c>
      <c r="N53" s="25">
        <f>19.942*1000</f>
        <v>19942</v>
      </c>
      <c r="P53" s="19">
        <v>44862</v>
      </c>
      <c r="Q53" s="25">
        <f>22.3364*1000</f>
        <v>22336.400000000001</v>
      </c>
    </row>
    <row r="54" spans="1:17" ht="15.75" thickBot="1" x14ac:dyDescent="0.3">
      <c r="A54" s="7">
        <v>44865</v>
      </c>
      <c r="B54" s="26">
        <f>17.2604*1000</f>
        <v>17260.400000000001</v>
      </c>
      <c r="C54" s="26">
        <f>17.4338*1000</f>
        <v>17433.800000000003</v>
      </c>
      <c r="D54" s="27">
        <f>17.3471*1000</f>
        <v>17347.100000000002</v>
      </c>
      <c r="F54" s="20">
        <v>44865</v>
      </c>
      <c r="G54" s="34">
        <f>17.1256*1000</f>
        <v>17125.599999999999</v>
      </c>
      <c r="H54" s="34">
        <f>17.2962*1000</f>
        <v>17296.199999999997</v>
      </c>
      <c r="I54" s="35">
        <f>17.3336*1000</f>
        <v>17333.600000000002</v>
      </c>
      <c r="K54" s="36">
        <v>44865</v>
      </c>
      <c r="L54" s="37">
        <f>19.9599*1000</f>
        <v>19959.900000000001</v>
      </c>
      <c r="M54" s="37">
        <f>20.1674*1000</f>
        <v>20167.400000000001</v>
      </c>
      <c r="N54" s="38">
        <f>20.0637*1000</f>
        <v>20063.7</v>
      </c>
      <c r="P54" s="36">
        <v>44865</v>
      </c>
      <c r="Q54" s="38">
        <f>22.297*1000</f>
        <v>22297</v>
      </c>
    </row>
    <row r="55" spans="1:17" ht="15.75" thickBot="1" x14ac:dyDescent="0.3">
      <c r="A55" s="10" t="s">
        <v>6</v>
      </c>
      <c r="B55" s="28">
        <f>AVERAGE(B35:B54)</f>
        <v>16588.760000000002</v>
      </c>
      <c r="C55" s="28">
        <f>AVERAGE(C35:C54)</f>
        <v>16755.484999999997</v>
      </c>
      <c r="D55" s="29">
        <f>AVERAGE(D35:D54)</f>
        <v>16672.125</v>
      </c>
      <c r="F55" s="10" t="s">
        <v>6</v>
      </c>
      <c r="G55" s="28">
        <f>AVERAGE(G35:G54)</f>
        <v>16333.195000000002</v>
      </c>
      <c r="H55" s="28">
        <f>AVERAGE(H35:H54)</f>
        <v>16494.745000000003</v>
      </c>
      <c r="I55" s="28">
        <f>AVERAGE(I35:I54)</f>
        <v>16451.215</v>
      </c>
      <c r="K55" s="39" t="s">
        <v>6</v>
      </c>
      <c r="L55" s="40">
        <f>AVERAGE(L35:L54)</f>
        <v>18753.79</v>
      </c>
      <c r="M55" s="41">
        <f>AVERAGE(M35:M54)</f>
        <v>18948.395000000004</v>
      </c>
      <c r="N55" s="42">
        <f>AVERAGE(N35:N54)</f>
        <v>18740.814999999999</v>
      </c>
      <c r="P55" s="43" t="s">
        <v>6</v>
      </c>
      <c r="Q55" s="44">
        <f>AVERAGE(Q35:Q54)</f>
        <v>21353.605</v>
      </c>
    </row>
    <row r="57" spans="1:17" x14ac:dyDescent="0.25">
      <c r="A57" s="45" t="s">
        <v>12</v>
      </c>
      <c r="C57" s="45"/>
      <c r="K57" s="45" t="s">
        <v>12</v>
      </c>
      <c r="L57" s="45"/>
    </row>
    <row r="58" spans="1:17" x14ac:dyDescent="0.25">
      <c r="A58" s="45" t="s">
        <v>13</v>
      </c>
      <c r="C58" s="45"/>
      <c r="K58" s="45" t="s">
        <v>13</v>
      </c>
      <c r="L58" s="45"/>
    </row>
    <row r="59" spans="1:17" x14ac:dyDescent="0.25">
      <c r="A59" s="45" t="s">
        <v>14</v>
      </c>
      <c r="C59" s="45"/>
      <c r="K59" s="45" t="s">
        <v>14</v>
      </c>
      <c r="L59" s="45"/>
    </row>
  </sheetData>
  <mergeCells count="22">
    <mergeCell ref="A1:D1"/>
    <mergeCell ref="A2:A3"/>
    <mergeCell ref="B2:D2"/>
    <mergeCell ref="F1:I1"/>
    <mergeCell ref="F2:F3"/>
    <mergeCell ref="G2:I2"/>
    <mergeCell ref="K1:N1"/>
    <mergeCell ref="K2:K3"/>
    <mergeCell ref="L2:N2"/>
    <mergeCell ref="P2:P3"/>
    <mergeCell ref="Q2:Q3"/>
    <mergeCell ref="P33:P34"/>
    <mergeCell ref="Q33:Q34"/>
    <mergeCell ref="A33:A34"/>
    <mergeCell ref="B33:D33"/>
    <mergeCell ref="F32:I32"/>
    <mergeCell ref="F33:F34"/>
    <mergeCell ref="G33:I33"/>
    <mergeCell ref="K32:N32"/>
    <mergeCell ref="K33:K34"/>
    <mergeCell ref="L33:N33"/>
    <mergeCell ref="A32:D32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topLeftCell="A20" workbookViewId="0">
      <selection activeCell="T47" sqref="T47"/>
    </sheetView>
  </sheetViews>
  <sheetFormatPr defaultRowHeight="15" x14ac:dyDescent="0.25"/>
  <cols>
    <col min="1" max="1" width="12.28515625" customWidth="1"/>
    <col min="2" max="2" width="13.7109375" customWidth="1"/>
    <col min="3" max="3" width="12.42578125" customWidth="1"/>
    <col min="4" max="4" width="12.85546875" customWidth="1"/>
    <col min="6" max="6" width="12.28515625" customWidth="1"/>
    <col min="7" max="7" width="13.7109375" customWidth="1"/>
    <col min="8" max="8" width="12.42578125" customWidth="1"/>
    <col min="9" max="9" width="12.85546875" customWidth="1"/>
    <col min="11" max="11" width="12.28515625" customWidth="1"/>
    <col min="12" max="12" width="13.7109375" customWidth="1"/>
    <col min="13" max="13" width="12.42578125" customWidth="1"/>
    <col min="14" max="14" width="12.85546875" customWidth="1"/>
    <col min="16" max="16" width="12.28515625" customWidth="1"/>
    <col min="17" max="17" width="13.7109375" customWidth="1"/>
  </cols>
  <sheetData>
    <row r="1" spans="1:19" ht="15.75" thickBot="1" x14ac:dyDescent="0.3">
      <c r="A1" s="155" t="s">
        <v>15</v>
      </c>
      <c r="B1" s="155"/>
      <c r="C1" s="155"/>
      <c r="D1" s="155"/>
      <c r="F1" s="155" t="s">
        <v>15</v>
      </c>
      <c r="G1" s="155"/>
      <c r="H1" s="155"/>
      <c r="I1" s="155"/>
      <c r="K1" s="155" t="s">
        <v>15</v>
      </c>
      <c r="L1" s="155"/>
      <c r="M1" s="155"/>
      <c r="N1" s="155"/>
      <c r="P1" s="17" t="s">
        <v>16</v>
      </c>
      <c r="Q1" s="17"/>
      <c r="R1" s="51"/>
      <c r="S1" s="51"/>
    </row>
    <row r="2" spans="1:19" ht="15.75" thickBot="1" x14ac:dyDescent="0.3">
      <c r="A2" s="151" t="s">
        <v>1</v>
      </c>
      <c r="B2" s="156" t="s">
        <v>2</v>
      </c>
      <c r="C2" s="157"/>
      <c r="D2" s="158"/>
      <c r="F2" s="151" t="s">
        <v>1</v>
      </c>
      <c r="G2" s="156" t="s">
        <v>8</v>
      </c>
      <c r="H2" s="157"/>
      <c r="I2" s="158"/>
      <c r="K2" s="151" t="s">
        <v>1</v>
      </c>
      <c r="L2" s="156" t="s">
        <v>7</v>
      </c>
      <c r="M2" s="157"/>
      <c r="N2" s="158"/>
      <c r="P2" s="151" t="s">
        <v>10</v>
      </c>
      <c r="Q2" s="153" t="s">
        <v>11</v>
      </c>
      <c r="R2" s="51"/>
      <c r="S2" s="51"/>
    </row>
    <row r="3" spans="1:19" ht="15.75" thickBot="1" x14ac:dyDescent="0.3">
      <c r="A3" s="240"/>
      <c r="B3" s="21" t="s">
        <v>3</v>
      </c>
      <c r="C3" s="21" t="s">
        <v>4</v>
      </c>
      <c r="D3" s="21" t="s">
        <v>5</v>
      </c>
      <c r="F3" s="240"/>
      <c r="G3" s="21" t="s">
        <v>3</v>
      </c>
      <c r="H3" s="21" t="s">
        <v>4</v>
      </c>
      <c r="I3" s="21" t="s">
        <v>5</v>
      </c>
      <c r="K3" s="240"/>
      <c r="L3" s="21" t="s">
        <v>3</v>
      </c>
      <c r="M3" s="21" t="s">
        <v>4</v>
      </c>
      <c r="N3" s="21" t="s">
        <v>5</v>
      </c>
      <c r="P3" s="240"/>
      <c r="Q3" s="241"/>
      <c r="R3" s="51"/>
      <c r="S3" s="51"/>
    </row>
    <row r="4" spans="1:19" x14ac:dyDescent="0.25">
      <c r="A4" s="72">
        <v>44866</v>
      </c>
      <c r="B4" s="55">
        <v>17.298400000000001</v>
      </c>
      <c r="C4" s="55">
        <v>17.472300000000001</v>
      </c>
      <c r="D4" s="56">
        <v>17.385400000000001</v>
      </c>
      <c r="F4" s="73">
        <v>44866</v>
      </c>
      <c r="G4" s="57">
        <v>19.948499999999999</v>
      </c>
      <c r="H4" s="57">
        <v>20.1508</v>
      </c>
      <c r="I4" s="58">
        <v>20.049700000000001</v>
      </c>
      <c r="K4" s="68">
        <v>44866</v>
      </c>
      <c r="L4" s="80">
        <v>17.189599999999999</v>
      </c>
      <c r="M4" s="80">
        <v>17.356400000000001</v>
      </c>
      <c r="N4" s="75">
        <v>17.273</v>
      </c>
      <c r="P4" s="19">
        <v>44866</v>
      </c>
      <c r="Q4" s="58">
        <v>22.311900000000001</v>
      </c>
      <c r="R4" s="51"/>
      <c r="S4" s="51"/>
    </row>
    <row r="5" spans="1:19" x14ac:dyDescent="0.25">
      <c r="A5" s="73">
        <v>44867</v>
      </c>
      <c r="B5" s="74">
        <v>17.388100000000001</v>
      </c>
      <c r="C5" s="74">
        <v>17.562799999999999</v>
      </c>
      <c r="D5" s="75">
        <v>17.4754</v>
      </c>
      <c r="F5" s="73">
        <v>44867</v>
      </c>
      <c r="G5" s="74">
        <v>19.9876</v>
      </c>
      <c r="H5" s="74">
        <v>20.190200000000001</v>
      </c>
      <c r="I5" s="75">
        <v>20.088899999999999</v>
      </c>
      <c r="K5" s="68">
        <v>44867</v>
      </c>
      <c r="L5" s="80">
        <v>17.1922</v>
      </c>
      <c r="M5" s="80">
        <v>17.357500000000002</v>
      </c>
      <c r="N5" s="75">
        <v>17.274799999999999</v>
      </c>
      <c r="P5" s="19">
        <v>44867</v>
      </c>
      <c r="Q5" s="58">
        <v>22.467700000000001</v>
      </c>
      <c r="R5" s="51"/>
      <c r="S5" s="51"/>
    </row>
    <row r="6" spans="1:19" x14ac:dyDescent="0.25">
      <c r="A6" s="19">
        <v>44868</v>
      </c>
      <c r="B6" s="57">
        <v>17.488600000000002</v>
      </c>
      <c r="C6" s="57">
        <v>17.664300000000001</v>
      </c>
      <c r="D6" s="58">
        <v>17.5764</v>
      </c>
      <c r="F6" s="19">
        <v>44868</v>
      </c>
      <c r="G6" s="57">
        <v>19.8093</v>
      </c>
      <c r="H6" s="57">
        <v>20.0154</v>
      </c>
      <c r="I6" s="58">
        <v>19.912400000000002</v>
      </c>
      <c r="K6" s="53">
        <v>44868</v>
      </c>
      <c r="L6" s="14">
        <v>17.1065</v>
      </c>
      <c r="M6" s="14">
        <v>17.275500000000001</v>
      </c>
      <c r="N6" s="58">
        <v>17.190999999999999</v>
      </c>
      <c r="P6" s="19">
        <v>44868</v>
      </c>
      <c r="Q6" s="58">
        <v>22.556999999999999</v>
      </c>
      <c r="R6" s="51"/>
      <c r="S6" s="51"/>
    </row>
    <row r="7" spans="1:19" x14ac:dyDescent="0.25">
      <c r="A7" s="19">
        <v>44869</v>
      </c>
      <c r="B7" s="57">
        <v>17.554600000000001</v>
      </c>
      <c r="C7" s="57">
        <v>17.731100000000001</v>
      </c>
      <c r="D7" s="58">
        <v>17.642900000000001</v>
      </c>
      <c r="F7" s="19">
        <v>44869</v>
      </c>
      <c r="G7" s="57">
        <v>19.6892</v>
      </c>
      <c r="H7" s="57">
        <v>19.894300000000001</v>
      </c>
      <c r="I7" s="58">
        <v>19.791799999999999</v>
      </c>
      <c r="K7" s="53">
        <v>44869</v>
      </c>
      <c r="L7" s="14">
        <v>17.165900000000001</v>
      </c>
      <c r="M7" s="14">
        <v>17.335599999999999</v>
      </c>
      <c r="N7" s="58">
        <v>17.250699999999998</v>
      </c>
      <c r="P7" s="19">
        <v>44869</v>
      </c>
      <c r="Q7" s="58">
        <v>22.4636</v>
      </c>
      <c r="R7" s="51"/>
      <c r="S7" s="51"/>
    </row>
    <row r="8" spans="1:19" x14ac:dyDescent="0.25">
      <c r="A8" s="19">
        <v>44872</v>
      </c>
      <c r="B8" s="57">
        <v>17.540299999999998</v>
      </c>
      <c r="C8" s="57">
        <v>17.7166</v>
      </c>
      <c r="D8" s="58">
        <v>17.628399999999999</v>
      </c>
      <c r="F8" s="19">
        <v>44872</v>
      </c>
      <c r="G8" s="57">
        <v>19.859100000000002</v>
      </c>
      <c r="H8" s="57">
        <v>20.067599999999999</v>
      </c>
      <c r="I8" s="58">
        <v>19.9634</v>
      </c>
      <c r="K8" s="53">
        <v>44872</v>
      </c>
      <c r="L8" s="14">
        <v>17.437100000000001</v>
      </c>
      <c r="M8" s="14">
        <v>17.610900000000001</v>
      </c>
      <c r="N8" s="58">
        <v>17.524000000000001</v>
      </c>
      <c r="P8" s="19">
        <v>44872</v>
      </c>
      <c r="Q8" s="58">
        <v>22.534099999999999</v>
      </c>
      <c r="R8" s="51"/>
      <c r="S8" s="51"/>
    </row>
    <row r="9" spans="1:19" x14ac:dyDescent="0.25">
      <c r="A9" s="19">
        <v>44873</v>
      </c>
      <c r="B9" s="57">
        <v>17.549900000000001</v>
      </c>
      <c r="C9" s="57">
        <v>17.726199999999999</v>
      </c>
      <c r="D9" s="58">
        <v>17.638000000000002</v>
      </c>
      <c r="F9" s="19">
        <v>44873</v>
      </c>
      <c r="G9" s="57">
        <v>20.120999999999999</v>
      </c>
      <c r="H9" s="57">
        <v>20.330200000000001</v>
      </c>
      <c r="I9" s="58">
        <v>20.2256</v>
      </c>
      <c r="K9" s="53">
        <v>44873</v>
      </c>
      <c r="L9" s="14">
        <v>17.539200000000001</v>
      </c>
      <c r="M9" s="14">
        <v>17.712299999999999</v>
      </c>
      <c r="N9" s="58">
        <v>17.625699999999998</v>
      </c>
      <c r="P9" s="19">
        <v>44873</v>
      </c>
      <c r="Q9" s="58">
        <v>22.7089</v>
      </c>
      <c r="R9" s="51"/>
      <c r="S9" s="51"/>
    </row>
    <row r="10" spans="1:19" x14ac:dyDescent="0.25">
      <c r="A10" s="19">
        <v>44874</v>
      </c>
      <c r="B10" s="57">
        <v>17.7196</v>
      </c>
      <c r="C10" s="57">
        <v>17.897600000000001</v>
      </c>
      <c r="D10" s="58">
        <v>17.808599999999998</v>
      </c>
      <c r="F10" s="19">
        <v>44874</v>
      </c>
      <c r="G10" s="57">
        <v>20.4803</v>
      </c>
      <c r="H10" s="57">
        <v>20.693200000000001</v>
      </c>
      <c r="I10" s="58">
        <v>20.5868</v>
      </c>
      <c r="K10" s="53">
        <v>44874</v>
      </c>
      <c r="L10" s="14">
        <v>17.858699999999999</v>
      </c>
      <c r="M10" s="14">
        <v>18.0349</v>
      </c>
      <c r="N10" s="58">
        <v>17.9468</v>
      </c>
      <c r="P10" s="19">
        <v>44874</v>
      </c>
      <c r="Q10" s="58">
        <v>22.9374</v>
      </c>
      <c r="R10" s="51"/>
      <c r="S10" s="51"/>
    </row>
    <row r="11" spans="1:19" x14ac:dyDescent="0.25">
      <c r="A11" s="19">
        <v>44875</v>
      </c>
      <c r="B11" s="57">
        <v>17.7287</v>
      </c>
      <c r="C11" s="57">
        <v>17.9069</v>
      </c>
      <c r="D11" s="58">
        <v>17.817799999999998</v>
      </c>
      <c r="F11" s="19">
        <v>44875</v>
      </c>
      <c r="G11" s="57">
        <v>20.1753</v>
      </c>
      <c r="H11" s="57">
        <v>20.385200000000001</v>
      </c>
      <c r="I11" s="58">
        <v>20.280200000000001</v>
      </c>
      <c r="K11" s="53">
        <v>44875</v>
      </c>
      <c r="L11" s="57">
        <v>17.1753</v>
      </c>
      <c r="M11" s="14">
        <v>17.9069</v>
      </c>
      <c r="N11" s="58">
        <v>17.817799999999998</v>
      </c>
      <c r="P11" s="19">
        <v>44875</v>
      </c>
      <c r="Q11" s="58">
        <v>22.9877</v>
      </c>
      <c r="R11" s="51"/>
      <c r="S11" s="51"/>
    </row>
    <row r="12" spans="1:19" x14ac:dyDescent="0.25">
      <c r="A12" s="19">
        <v>44876</v>
      </c>
      <c r="B12" s="57">
        <v>17.834199999999999</v>
      </c>
      <c r="C12" s="57">
        <v>18.1035</v>
      </c>
      <c r="D12" s="58">
        <v>17.9239</v>
      </c>
      <c r="F12" s="19">
        <v>44876</v>
      </c>
      <c r="G12" s="57">
        <v>20.892800000000001</v>
      </c>
      <c r="H12" s="57">
        <v>21.11</v>
      </c>
      <c r="I12" s="58">
        <v>21.0014</v>
      </c>
      <c r="K12" s="53">
        <v>44876</v>
      </c>
      <c r="L12" s="57">
        <v>18.247</v>
      </c>
      <c r="M12" s="14">
        <v>18.428699999999999</v>
      </c>
      <c r="N12" s="58">
        <v>18.337800000000001</v>
      </c>
      <c r="P12" s="19">
        <v>44876</v>
      </c>
      <c r="Q12" s="58">
        <v>23.032499999999999</v>
      </c>
      <c r="R12" s="51"/>
      <c r="S12" s="51"/>
    </row>
    <row r="13" spans="1:19" x14ac:dyDescent="0.25">
      <c r="A13" s="19">
        <v>44879</v>
      </c>
      <c r="B13" s="57">
        <v>17.777200000000001</v>
      </c>
      <c r="C13" s="57">
        <v>17.9559</v>
      </c>
      <c r="D13" s="58">
        <v>17.866599999999998</v>
      </c>
      <c r="F13" s="19">
        <v>44879</v>
      </c>
      <c r="G13" s="57">
        <v>20.9984</v>
      </c>
      <c r="H13" s="57">
        <v>21.216699999999999</v>
      </c>
      <c r="I13" s="58">
        <v>21.107600000000001</v>
      </c>
      <c r="K13" s="53">
        <v>44879</v>
      </c>
      <c r="L13" s="14">
        <v>18.372900000000001</v>
      </c>
      <c r="M13" s="14">
        <v>18.554200000000002</v>
      </c>
      <c r="N13" s="58">
        <v>18.4636</v>
      </c>
      <c r="P13" s="19">
        <v>44879</v>
      </c>
      <c r="Q13" s="58">
        <v>23.3887</v>
      </c>
      <c r="R13" s="51"/>
      <c r="S13" s="51"/>
    </row>
    <row r="14" spans="1:19" x14ac:dyDescent="0.25">
      <c r="A14" s="19">
        <v>44880</v>
      </c>
      <c r="B14" s="57">
        <v>17.910699999999999</v>
      </c>
      <c r="C14" s="57">
        <v>18.090699999999998</v>
      </c>
      <c r="D14" s="58">
        <v>18.000699999999998</v>
      </c>
      <c r="F14" s="19">
        <v>44880</v>
      </c>
      <c r="G14" s="57">
        <v>21.166899999999998</v>
      </c>
      <c r="H14" s="57">
        <v>21.383199999999999</v>
      </c>
      <c r="I14" s="58">
        <v>21.274999999999999</v>
      </c>
      <c r="K14" s="53">
        <v>44880</v>
      </c>
      <c r="L14" s="14">
        <v>18.636099999999999</v>
      </c>
      <c r="M14" s="14">
        <v>18.816600000000001</v>
      </c>
      <c r="N14" s="58">
        <v>18.726400000000002</v>
      </c>
      <c r="P14" s="19">
        <v>44880</v>
      </c>
      <c r="Q14" s="58">
        <v>23.558</v>
      </c>
      <c r="R14" s="51"/>
      <c r="S14" s="51"/>
    </row>
    <row r="15" spans="1:19" x14ac:dyDescent="0.25">
      <c r="A15" s="19">
        <v>44881</v>
      </c>
      <c r="B15" s="57">
        <v>17.915400000000002</v>
      </c>
      <c r="C15" s="57">
        <v>18.095400000000001</v>
      </c>
      <c r="D15" s="58">
        <v>18.005400000000002</v>
      </c>
      <c r="F15" s="19">
        <v>44881</v>
      </c>
      <c r="G15" s="57">
        <v>21.2942</v>
      </c>
      <c r="H15" s="57">
        <v>21.5154</v>
      </c>
      <c r="I15" s="58">
        <v>21.404800000000002</v>
      </c>
      <c r="K15" s="53">
        <v>44881</v>
      </c>
      <c r="L15" s="14">
        <v>18.6416</v>
      </c>
      <c r="M15" s="14">
        <v>18.826899999999998</v>
      </c>
      <c r="N15" s="58">
        <v>18.734200000000001</v>
      </c>
      <c r="P15" s="19">
        <v>44881</v>
      </c>
      <c r="Q15" s="58">
        <v>23.694400000000002</v>
      </c>
      <c r="R15" s="51"/>
      <c r="S15" s="51"/>
    </row>
    <row r="16" spans="1:19" x14ac:dyDescent="0.25">
      <c r="A16" s="19">
        <v>44882</v>
      </c>
      <c r="B16" s="57">
        <v>17.927299999999999</v>
      </c>
      <c r="C16" s="57">
        <v>18.107399999999998</v>
      </c>
      <c r="D16" s="58">
        <v>18.017299999999999</v>
      </c>
      <c r="F16" s="19">
        <v>44882</v>
      </c>
      <c r="G16" s="57">
        <v>21.392600000000002</v>
      </c>
      <c r="H16" s="57">
        <v>21.614799999999999</v>
      </c>
      <c r="I16" s="58">
        <v>21.503699999999998</v>
      </c>
      <c r="K16" s="53">
        <v>44882</v>
      </c>
      <c r="L16" s="57">
        <v>18.625</v>
      </c>
      <c r="M16" s="57">
        <v>18.810199999999998</v>
      </c>
      <c r="N16" s="58">
        <v>18.717600000000001</v>
      </c>
      <c r="P16" s="19">
        <v>44882</v>
      </c>
      <c r="Q16" s="58">
        <v>23.697600000000001</v>
      </c>
      <c r="R16" s="51"/>
      <c r="S16" s="51"/>
    </row>
    <row r="17" spans="1:19" x14ac:dyDescent="0.25">
      <c r="A17" s="19">
        <v>44883</v>
      </c>
      <c r="B17" s="57">
        <v>17.977799999999998</v>
      </c>
      <c r="C17" s="57">
        <v>18.1585</v>
      </c>
      <c r="D17" s="58">
        <v>18.068100000000001</v>
      </c>
      <c r="F17" s="19">
        <v>44883</v>
      </c>
      <c r="G17" s="57">
        <v>21.39</v>
      </c>
      <c r="H17" s="57">
        <v>21.612200000000001</v>
      </c>
      <c r="I17" s="58">
        <v>21.501100000000001</v>
      </c>
      <c r="K17" s="53">
        <v>44883</v>
      </c>
      <c r="L17" s="57">
        <v>18.634</v>
      </c>
      <c r="M17" s="14">
        <v>18.819400000000002</v>
      </c>
      <c r="N17" s="58">
        <v>18.726700000000001</v>
      </c>
      <c r="P17" s="19">
        <v>44883</v>
      </c>
      <c r="Q17" s="58">
        <v>23.680299999999999</v>
      </c>
      <c r="R17" s="51"/>
      <c r="S17" s="51"/>
    </row>
    <row r="18" spans="1:19" x14ac:dyDescent="0.25">
      <c r="A18" s="19">
        <v>44886</v>
      </c>
      <c r="B18" s="57">
        <v>18.087599999999998</v>
      </c>
      <c r="C18" s="57">
        <v>18.269400000000001</v>
      </c>
      <c r="D18" s="58">
        <v>18.1785</v>
      </c>
      <c r="F18" s="19">
        <v>44886</v>
      </c>
      <c r="G18" s="57">
        <v>21.392199999999999</v>
      </c>
      <c r="H18" s="57">
        <v>21.6145</v>
      </c>
      <c r="I18" s="58">
        <v>21.503399999999999</v>
      </c>
      <c r="K18" s="53">
        <v>44886</v>
      </c>
      <c r="L18" s="14">
        <v>18.5745</v>
      </c>
      <c r="M18" s="57">
        <v>18.7577</v>
      </c>
      <c r="N18" s="58">
        <v>18.6661</v>
      </c>
      <c r="P18" s="19">
        <v>44886</v>
      </c>
      <c r="Q18" s="58">
        <v>23.859400000000001</v>
      </c>
      <c r="R18" s="51"/>
      <c r="S18" s="51"/>
    </row>
    <row r="19" spans="1:19" x14ac:dyDescent="0.25">
      <c r="A19" s="19">
        <v>44887</v>
      </c>
      <c r="B19" s="57">
        <v>17.9984</v>
      </c>
      <c r="C19" s="57">
        <v>18.179300000000001</v>
      </c>
      <c r="D19" s="58">
        <v>18.088799999999999</v>
      </c>
      <c r="F19" s="19">
        <v>44887</v>
      </c>
      <c r="G19" s="57">
        <v>21.3155</v>
      </c>
      <c r="H19" s="57">
        <v>21.536999999999999</v>
      </c>
      <c r="I19" s="58">
        <v>21.426300000000001</v>
      </c>
      <c r="K19" s="53">
        <v>44887</v>
      </c>
      <c r="L19" s="14">
        <v>18.4758</v>
      </c>
      <c r="M19" s="14">
        <v>18.658100000000001</v>
      </c>
      <c r="N19" s="58">
        <v>18.5669</v>
      </c>
      <c r="P19" s="19">
        <v>44887</v>
      </c>
      <c r="Q19" s="58">
        <v>23.59</v>
      </c>
      <c r="R19" s="51"/>
      <c r="S19" s="51"/>
    </row>
    <row r="20" spans="1:19" x14ac:dyDescent="0.25">
      <c r="A20" s="19">
        <v>44888</v>
      </c>
      <c r="B20" s="57">
        <v>18.117699999999999</v>
      </c>
      <c r="C20" s="57">
        <v>18.299800000000001</v>
      </c>
      <c r="D20" s="58">
        <v>18.2088</v>
      </c>
      <c r="F20" s="19">
        <v>44888</v>
      </c>
      <c r="G20" s="57">
        <v>21.578199999999999</v>
      </c>
      <c r="H20" s="57">
        <v>21.802399999999999</v>
      </c>
      <c r="I20" s="58">
        <v>21.690300000000001</v>
      </c>
      <c r="K20" s="53">
        <v>44888</v>
      </c>
      <c r="L20" s="14">
        <v>18.750599999999999</v>
      </c>
      <c r="M20" s="14">
        <v>18.937200000000001</v>
      </c>
      <c r="N20" s="58">
        <v>18.843900000000001</v>
      </c>
      <c r="P20" s="19">
        <v>44888</v>
      </c>
      <c r="Q20" s="58">
        <v>23.802399999999999</v>
      </c>
      <c r="R20" s="51"/>
      <c r="S20" s="51"/>
    </row>
    <row r="21" spans="1:19" x14ac:dyDescent="0.25">
      <c r="A21" s="19">
        <v>44889</v>
      </c>
      <c r="B21" s="57">
        <v>18.049700000000001</v>
      </c>
      <c r="C21" s="57">
        <v>18.231100000000001</v>
      </c>
      <c r="D21" s="58">
        <v>18.1404</v>
      </c>
      <c r="F21" s="19">
        <v>44889</v>
      </c>
      <c r="G21" s="57">
        <v>21.7896</v>
      </c>
      <c r="H21" s="57">
        <v>22.015899999999998</v>
      </c>
      <c r="I21" s="58">
        <v>21.902699999999999</v>
      </c>
      <c r="K21" s="53">
        <v>44889</v>
      </c>
      <c r="L21" s="57">
        <v>18.7744</v>
      </c>
      <c r="M21" s="57">
        <v>18.959599999999998</v>
      </c>
      <c r="N21" s="58">
        <v>18.867000000000001</v>
      </c>
      <c r="P21" s="19">
        <v>44889</v>
      </c>
      <c r="Q21" s="58">
        <v>23.744</v>
      </c>
      <c r="R21" s="51"/>
      <c r="S21" s="51"/>
    </row>
    <row r="22" spans="1:19" x14ac:dyDescent="0.25">
      <c r="A22" s="19">
        <v>44890</v>
      </c>
      <c r="B22" s="57">
        <v>18.144300000000001</v>
      </c>
      <c r="C22" s="57">
        <v>18.326599999999999</v>
      </c>
      <c r="D22" s="58">
        <v>18.235499999999998</v>
      </c>
      <c r="F22" s="19">
        <v>44890</v>
      </c>
      <c r="G22" s="57">
        <v>21.98</v>
      </c>
      <c r="H22" s="57">
        <v>22.208200000000001</v>
      </c>
      <c r="I22" s="58">
        <v>22.094100000000001</v>
      </c>
      <c r="K22" s="53">
        <v>44890</v>
      </c>
      <c r="L22" s="14">
        <v>18.144300000000001</v>
      </c>
      <c r="M22" s="57">
        <v>18.326599999999999</v>
      </c>
      <c r="N22" s="58">
        <v>18.235499999999998</v>
      </c>
      <c r="P22" s="19">
        <v>44890</v>
      </c>
      <c r="Q22" s="58">
        <v>23.868500000000001</v>
      </c>
      <c r="R22" s="51"/>
      <c r="S22" s="51"/>
    </row>
    <row r="23" spans="1:19" x14ac:dyDescent="0.25">
      <c r="A23" s="19">
        <v>44893</v>
      </c>
      <c r="B23" s="57">
        <v>18.100100000000001</v>
      </c>
      <c r="C23" s="57">
        <v>18.282</v>
      </c>
      <c r="D23" s="58">
        <v>18.190999999999999</v>
      </c>
      <c r="F23" s="19">
        <v>44893</v>
      </c>
      <c r="G23" s="57">
        <v>21.8215</v>
      </c>
      <c r="H23" s="57">
        <v>22.048100000000002</v>
      </c>
      <c r="I23" s="58">
        <v>21.934799999999999</v>
      </c>
      <c r="K23" s="53">
        <v>44893</v>
      </c>
      <c r="L23" s="14">
        <v>18.785699999999999</v>
      </c>
      <c r="M23" s="57">
        <v>18.971</v>
      </c>
      <c r="N23" s="58">
        <v>18.878399999999999</v>
      </c>
      <c r="P23" s="19">
        <v>44893</v>
      </c>
      <c r="Q23" s="58">
        <v>23.810199999999998</v>
      </c>
      <c r="R23" s="51"/>
      <c r="S23" s="51"/>
    </row>
    <row r="24" spans="1:19" x14ac:dyDescent="0.25">
      <c r="A24" s="19">
        <v>44894</v>
      </c>
      <c r="B24" s="59">
        <v>18.197399999999998</v>
      </c>
      <c r="C24" s="59">
        <v>18.380299999999998</v>
      </c>
      <c r="D24" s="60">
        <v>18.288900000000002</v>
      </c>
      <c r="F24" s="19">
        <v>44894</v>
      </c>
      <c r="G24" s="59">
        <v>21.9024</v>
      </c>
      <c r="H24" s="59">
        <v>22.124400000000001</v>
      </c>
      <c r="I24" s="60">
        <v>22.013400000000001</v>
      </c>
      <c r="K24" s="53">
        <v>44894</v>
      </c>
      <c r="L24" s="15">
        <v>18.894400000000001</v>
      </c>
      <c r="M24" s="15">
        <v>19.0777</v>
      </c>
      <c r="N24" s="60">
        <v>18.986000000000001</v>
      </c>
      <c r="P24" s="19">
        <v>44894</v>
      </c>
      <c r="Q24" s="60">
        <v>24.089700000000001</v>
      </c>
      <c r="R24" s="51"/>
      <c r="S24" s="51"/>
    </row>
    <row r="25" spans="1:19" ht="15.75" thickBot="1" x14ac:dyDescent="0.3">
      <c r="A25" s="36">
        <v>44895</v>
      </c>
      <c r="B25" s="76">
        <v>18.235299999999999</v>
      </c>
      <c r="C25" s="76">
        <v>18.418600000000001</v>
      </c>
      <c r="D25" s="77">
        <v>18.326899999999998</v>
      </c>
      <c r="F25" s="36">
        <v>44895</v>
      </c>
      <c r="G25" s="76">
        <v>21.813099999999999</v>
      </c>
      <c r="H25" s="76">
        <v>22.034199999999998</v>
      </c>
      <c r="I25" s="77">
        <v>21.9236</v>
      </c>
      <c r="K25" s="53">
        <v>44895</v>
      </c>
      <c r="L25" s="15">
        <v>18.8841</v>
      </c>
      <c r="M25" s="15">
        <v>19.0656</v>
      </c>
      <c r="N25" s="60">
        <v>18.974900000000002</v>
      </c>
      <c r="P25" s="36">
        <v>44895</v>
      </c>
      <c r="Q25" s="77">
        <v>24.085799999999999</v>
      </c>
      <c r="R25" s="51"/>
      <c r="S25" s="51"/>
    </row>
    <row r="26" spans="1:19" ht="15.75" thickBot="1" x14ac:dyDescent="0.3">
      <c r="A26" s="54" t="s">
        <v>6</v>
      </c>
      <c r="B26" s="61">
        <f>AVERAGE(B4:B25)</f>
        <v>17.842786363636364</v>
      </c>
      <c r="C26" s="61">
        <f>AVERAGE(C4:C25)</f>
        <v>18.026195454545455</v>
      </c>
      <c r="D26" s="62">
        <f>AVERAGE(D4:D25)</f>
        <v>17.932440909090911</v>
      </c>
      <c r="F26" s="54" t="s">
        <v>6</v>
      </c>
      <c r="G26" s="61">
        <f>AVERAGE(G4:G25)</f>
        <v>20.945349999999998</v>
      </c>
      <c r="H26" s="61">
        <f>AVERAGE(H4:H25)</f>
        <v>21.161995454545451</v>
      </c>
      <c r="I26" s="61">
        <f>AVERAGE(I4:I25)</f>
        <v>21.053681818181818</v>
      </c>
      <c r="K26" s="54" t="s">
        <v>6</v>
      </c>
      <c r="L26" s="61">
        <f>AVERAGE(L4:L25)</f>
        <v>18.141131818181819</v>
      </c>
      <c r="M26" s="61">
        <f>AVERAGE(M4:M25)</f>
        <v>18.345431818181819</v>
      </c>
      <c r="N26" s="62">
        <f>AVERAGE(N4:N25)</f>
        <v>18.255854545454547</v>
      </c>
      <c r="P26" s="21" t="s">
        <v>6</v>
      </c>
      <c r="Q26" s="62">
        <f>AVERAGE(Q4:Q25)</f>
        <v>23.312263636363635</v>
      </c>
      <c r="R26" s="51"/>
      <c r="S26" s="51"/>
    </row>
    <row r="28" spans="1:19" x14ac:dyDescent="0.25">
      <c r="A28" s="45" t="s">
        <v>12</v>
      </c>
      <c r="B28" s="45"/>
      <c r="K28" s="45" t="s">
        <v>12</v>
      </c>
      <c r="L28" s="45"/>
    </row>
    <row r="29" spans="1:19" x14ac:dyDescent="0.25">
      <c r="A29" s="45" t="s">
        <v>19</v>
      </c>
      <c r="B29" s="45"/>
      <c r="K29" s="45" t="s">
        <v>19</v>
      </c>
      <c r="L29" s="45"/>
    </row>
    <row r="30" spans="1:19" x14ac:dyDescent="0.25">
      <c r="A30" s="45" t="s">
        <v>14</v>
      </c>
      <c r="B30" s="45"/>
      <c r="K30" s="45" t="s">
        <v>14</v>
      </c>
      <c r="L30" s="45"/>
    </row>
    <row r="32" spans="1:19" ht="15.75" thickBot="1" x14ac:dyDescent="0.3">
      <c r="A32" s="155" t="s">
        <v>15</v>
      </c>
      <c r="B32" s="155"/>
      <c r="C32" s="155"/>
      <c r="D32" s="155"/>
      <c r="F32" s="155" t="s">
        <v>15</v>
      </c>
      <c r="G32" s="155"/>
      <c r="H32" s="155"/>
      <c r="I32" s="155"/>
      <c r="K32" s="155" t="s">
        <v>15</v>
      </c>
      <c r="L32" s="155"/>
      <c r="M32" s="155"/>
      <c r="N32" s="155"/>
      <c r="P32" s="17" t="s">
        <v>16</v>
      </c>
      <c r="Q32" s="17"/>
      <c r="R32" s="51"/>
      <c r="S32" s="51"/>
    </row>
    <row r="33" spans="1:19" ht="15.75" customHeight="1" thickBot="1" x14ac:dyDescent="0.3">
      <c r="A33" s="151" t="s">
        <v>1</v>
      </c>
      <c r="B33" s="156" t="s">
        <v>2</v>
      </c>
      <c r="C33" s="157"/>
      <c r="D33" s="158"/>
      <c r="F33" s="151" t="s">
        <v>1</v>
      </c>
      <c r="G33" s="156" t="s">
        <v>8</v>
      </c>
      <c r="H33" s="157"/>
      <c r="I33" s="158"/>
      <c r="K33" s="151" t="s">
        <v>1</v>
      </c>
      <c r="L33" s="156" t="s">
        <v>7</v>
      </c>
      <c r="M33" s="157"/>
      <c r="N33" s="158"/>
      <c r="P33" s="151" t="s">
        <v>10</v>
      </c>
      <c r="Q33" s="153" t="s">
        <v>11</v>
      </c>
      <c r="R33" s="51"/>
      <c r="S33" s="51"/>
    </row>
    <row r="34" spans="1:19" ht="15.75" thickBot="1" x14ac:dyDescent="0.3">
      <c r="A34" s="240"/>
      <c r="B34" s="21" t="s">
        <v>3</v>
      </c>
      <c r="C34" s="21" t="s">
        <v>4</v>
      </c>
      <c r="D34" s="21" t="s">
        <v>5</v>
      </c>
      <c r="F34" s="240"/>
      <c r="G34" s="21" t="s">
        <v>3</v>
      </c>
      <c r="H34" s="21" t="s">
        <v>4</v>
      </c>
      <c r="I34" s="21" t="s">
        <v>5</v>
      </c>
      <c r="K34" s="240"/>
      <c r="L34" s="21" t="s">
        <v>3</v>
      </c>
      <c r="M34" s="21" t="s">
        <v>4</v>
      </c>
      <c r="N34" s="21" t="s">
        <v>5</v>
      </c>
      <c r="P34" s="240"/>
      <c r="Q34" s="241"/>
      <c r="R34" s="51"/>
      <c r="S34" s="51"/>
    </row>
    <row r="35" spans="1:19" x14ac:dyDescent="0.25">
      <c r="A35" s="18">
        <v>44866</v>
      </c>
      <c r="B35" s="65">
        <f>17.2984*1000</f>
        <v>17298.400000000001</v>
      </c>
      <c r="C35" s="65">
        <f>17.4723*1000</f>
        <v>17472.3</v>
      </c>
      <c r="D35" s="23">
        <f>17.3854*1000</f>
        <v>17385.400000000001</v>
      </c>
      <c r="F35" s="73">
        <v>44866</v>
      </c>
      <c r="G35" s="78">
        <f>19.9485*1000</f>
        <v>19948.5</v>
      </c>
      <c r="H35" s="78">
        <f>20.1508*1000</f>
        <v>20150.8</v>
      </c>
      <c r="I35" s="79">
        <f>20.0497*1000</f>
        <v>20049.7</v>
      </c>
      <c r="K35" s="18">
        <v>44866</v>
      </c>
      <c r="L35" s="81">
        <f>17.1896*1000</f>
        <v>17189.599999999999</v>
      </c>
      <c r="M35" s="81">
        <f>17.3564*1000</f>
        <v>17356.400000000001</v>
      </c>
      <c r="N35" s="82">
        <f>17.273*1000</f>
        <v>17273</v>
      </c>
      <c r="P35" s="73">
        <v>44866</v>
      </c>
      <c r="Q35" s="79">
        <f>22.3119*1000</f>
        <v>22311.9</v>
      </c>
      <c r="R35" s="51"/>
      <c r="S35" s="51"/>
    </row>
    <row r="36" spans="1:19" x14ac:dyDescent="0.25">
      <c r="A36" s="73">
        <v>44867</v>
      </c>
      <c r="B36" s="64">
        <f>17.3881*1000</f>
        <v>17388.100000000002</v>
      </c>
      <c r="C36" s="64">
        <f>17.5628*1000</f>
        <v>17562.8</v>
      </c>
      <c r="D36" s="25">
        <f>17.4754*1000</f>
        <v>17475.400000000001</v>
      </c>
      <c r="F36" s="73">
        <v>44867</v>
      </c>
      <c r="G36" s="78">
        <f>19.9876*1000</f>
        <v>19987.600000000002</v>
      </c>
      <c r="H36" s="78">
        <f>20.1902*1000</f>
        <v>20190.2</v>
      </c>
      <c r="I36" s="79">
        <f>20.0889*1000</f>
        <v>20088.899999999998</v>
      </c>
      <c r="K36" s="19">
        <v>44867</v>
      </c>
      <c r="L36" s="32">
        <f>17.1922*1000</f>
        <v>17192.2</v>
      </c>
      <c r="M36" s="32">
        <f>17.3575*1000</f>
        <v>17357.5</v>
      </c>
      <c r="N36" s="33">
        <f>17.2748*1000</f>
        <v>17274.8</v>
      </c>
      <c r="P36" s="19">
        <v>44867</v>
      </c>
      <c r="Q36" s="25">
        <f>22.4677*1000</f>
        <v>22467.7</v>
      </c>
      <c r="R36" s="51"/>
      <c r="S36" s="51"/>
    </row>
    <row r="37" spans="1:19" x14ac:dyDescent="0.25">
      <c r="A37" s="19">
        <v>44868</v>
      </c>
      <c r="B37" s="64">
        <f>17.4886*1000</f>
        <v>17488.600000000002</v>
      </c>
      <c r="C37" s="64">
        <f>17.6643*1000</f>
        <v>17664.3</v>
      </c>
      <c r="D37" s="25">
        <f>17.5764*1000</f>
        <v>17576.399999999998</v>
      </c>
      <c r="F37" s="19">
        <v>44868</v>
      </c>
      <c r="G37" s="64">
        <f>19.8093*1000</f>
        <v>19809.3</v>
      </c>
      <c r="H37" s="64">
        <f>20.0154*1000</f>
        <v>20015.400000000001</v>
      </c>
      <c r="I37" s="25">
        <f>19.9124*1000</f>
        <v>19912.400000000001</v>
      </c>
      <c r="K37" s="19">
        <v>44868</v>
      </c>
      <c r="L37" s="32">
        <f>17.1065*1000</f>
        <v>17106.5</v>
      </c>
      <c r="M37" s="32">
        <f>17.2755*1000</f>
        <v>17275.5</v>
      </c>
      <c r="N37" s="33">
        <f>17.191*1000</f>
        <v>17191</v>
      </c>
      <c r="P37" s="19">
        <v>44868</v>
      </c>
      <c r="Q37" s="25">
        <f>22.557*1000</f>
        <v>22557</v>
      </c>
      <c r="R37" s="51"/>
      <c r="S37" s="51"/>
    </row>
    <row r="38" spans="1:19" x14ac:dyDescent="0.25">
      <c r="A38" s="19">
        <v>44869</v>
      </c>
      <c r="B38" s="64">
        <f>17.5546*1000</f>
        <v>17554.600000000002</v>
      </c>
      <c r="C38" s="64">
        <f>17.7311*1000</f>
        <v>17731.100000000002</v>
      </c>
      <c r="D38" s="25">
        <f>17.6429*1000</f>
        <v>17642.900000000001</v>
      </c>
      <c r="F38" s="19">
        <v>44869</v>
      </c>
      <c r="G38" s="64">
        <f>19.6892*1000</f>
        <v>19689.2</v>
      </c>
      <c r="H38" s="64">
        <f>19.8943*1000</f>
        <v>19894.300000000003</v>
      </c>
      <c r="I38" s="25">
        <f>19.7908*1000</f>
        <v>19790.8</v>
      </c>
      <c r="K38" s="19">
        <v>44869</v>
      </c>
      <c r="L38" s="32">
        <f>17.1659*1000</f>
        <v>17165.900000000001</v>
      </c>
      <c r="M38" s="32">
        <f>17.3356*1000</f>
        <v>17335.599999999999</v>
      </c>
      <c r="N38" s="33">
        <f>17.2507*1000</f>
        <v>17250.699999999997</v>
      </c>
      <c r="P38" s="19">
        <v>44869</v>
      </c>
      <c r="Q38" s="25">
        <f>22.4636*1000</f>
        <v>22463.599999999999</v>
      </c>
      <c r="R38" s="51"/>
      <c r="S38" s="51"/>
    </row>
    <row r="39" spans="1:19" x14ac:dyDescent="0.25">
      <c r="A39" s="19">
        <v>44872</v>
      </c>
      <c r="B39" s="64">
        <f>17.5403*1000</f>
        <v>17540.3</v>
      </c>
      <c r="C39" s="64">
        <f>17.7166*1000</f>
        <v>17716.599999999999</v>
      </c>
      <c r="D39" s="25">
        <f>17.6284*1000</f>
        <v>17628.399999999998</v>
      </c>
      <c r="F39" s="19">
        <v>44872</v>
      </c>
      <c r="G39" s="64">
        <f>19.8591*1000</f>
        <v>19859.100000000002</v>
      </c>
      <c r="H39" s="64">
        <f>20.0676*1000</f>
        <v>20067.599999999999</v>
      </c>
      <c r="I39" s="25">
        <f>19.9634*1000</f>
        <v>19963.400000000001</v>
      </c>
      <c r="K39" s="19">
        <v>44872</v>
      </c>
      <c r="L39" s="32">
        <f>17.4371*1000</f>
        <v>17437.100000000002</v>
      </c>
      <c r="M39" s="32">
        <f>17.6109*1000</f>
        <v>17610.900000000001</v>
      </c>
      <c r="N39" s="33">
        <f>17.524*1000</f>
        <v>17524</v>
      </c>
      <c r="P39" s="19">
        <v>44872</v>
      </c>
      <c r="Q39" s="25">
        <f>22.5341*1000</f>
        <v>22534.1</v>
      </c>
      <c r="R39" s="51"/>
      <c r="S39" s="51"/>
    </row>
    <row r="40" spans="1:19" x14ac:dyDescent="0.25">
      <c r="A40" s="19">
        <v>44873</v>
      </c>
      <c r="B40" s="64">
        <f>17.5499*1000</f>
        <v>17549.900000000001</v>
      </c>
      <c r="C40" s="64">
        <f>17.7262*1000</f>
        <v>17726.199999999997</v>
      </c>
      <c r="D40" s="25">
        <f>17.638*1000</f>
        <v>17638</v>
      </c>
      <c r="F40" s="19">
        <v>44873</v>
      </c>
      <c r="G40" s="64">
        <f>20.121*1000</f>
        <v>20121</v>
      </c>
      <c r="H40" s="64">
        <f>20.3302*1000</f>
        <v>20330.2</v>
      </c>
      <c r="I40" s="25">
        <f>20.2256*1000</f>
        <v>20225.599999999999</v>
      </c>
      <c r="K40" s="19">
        <v>44873</v>
      </c>
      <c r="L40" s="32">
        <f>17.5392*1000</f>
        <v>17539.2</v>
      </c>
      <c r="M40" s="32">
        <f>17.7123*1000</f>
        <v>17712.3</v>
      </c>
      <c r="N40" s="33">
        <f>17.6257*1000</f>
        <v>17625.699999999997</v>
      </c>
      <c r="P40" s="19">
        <v>44873</v>
      </c>
      <c r="Q40" s="25">
        <f>22.7089*1000</f>
        <v>22708.9</v>
      </c>
      <c r="R40" s="51"/>
      <c r="S40" s="51"/>
    </row>
    <row r="41" spans="1:19" x14ac:dyDescent="0.25">
      <c r="A41" s="19">
        <v>44874</v>
      </c>
      <c r="B41" s="64">
        <f>17.7196*1000</f>
        <v>17719.599999999999</v>
      </c>
      <c r="C41" s="64">
        <f>17.8976*1000</f>
        <v>17897.600000000002</v>
      </c>
      <c r="D41" s="25">
        <f>17.8086*1000</f>
        <v>17808.599999999999</v>
      </c>
      <c r="F41" s="19">
        <v>44874</v>
      </c>
      <c r="G41" s="64">
        <f>20.4803*1000</f>
        <v>20480.3</v>
      </c>
      <c r="H41" s="64">
        <f>20.6932*1000</f>
        <v>20693.2</v>
      </c>
      <c r="I41" s="25">
        <f>20.5868*1000</f>
        <v>20586.8</v>
      </c>
      <c r="K41" s="19">
        <v>44874</v>
      </c>
      <c r="L41" s="32">
        <f>17.8587*1000</f>
        <v>17858.699999999997</v>
      </c>
      <c r="M41" s="32">
        <f>17.0349*1000</f>
        <v>17034.900000000001</v>
      </c>
      <c r="N41" s="33">
        <f>17.9468*1000</f>
        <v>17946.8</v>
      </c>
      <c r="P41" s="19">
        <v>44874</v>
      </c>
      <c r="Q41" s="25">
        <f>22.9374*1000</f>
        <v>22937.4</v>
      </c>
      <c r="R41" s="51"/>
      <c r="S41" s="51"/>
    </row>
    <row r="42" spans="1:19" x14ac:dyDescent="0.25">
      <c r="A42" s="19">
        <v>44875</v>
      </c>
      <c r="B42" s="64">
        <f>17.7287*1000</f>
        <v>17728.7</v>
      </c>
      <c r="C42" s="64">
        <f>17.9069*1000</f>
        <v>17906.900000000001</v>
      </c>
      <c r="D42" s="25">
        <f>17.8178*1000</f>
        <v>17817.8</v>
      </c>
      <c r="F42" s="19">
        <v>44875</v>
      </c>
      <c r="G42" s="64">
        <f>20.1753*1000</f>
        <v>20175.3</v>
      </c>
      <c r="H42" s="64">
        <f>20.3852*1000</f>
        <v>20385.2</v>
      </c>
      <c r="I42" s="25">
        <f>20.2802*1000</f>
        <v>20280.2</v>
      </c>
      <c r="K42" s="19">
        <v>44875</v>
      </c>
      <c r="L42" s="32">
        <f>17.7287*1000</f>
        <v>17728.7</v>
      </c>
      <c r="M42" s="32">
        <f>17.9069*1000</f>
        <v>17906.900000000001</v>
      </c>
      <c r="N42" s="33">
        <f>17.8178*1000</f>
        <v>17817.8</v>
      </c>
      <c r="P42" s="19">
        <v>44875</v>
      </c>
      <c r="Q42" s="25">
        <f>22.9877*1000</f>
        <v>22987.7</v>
      </c>
      <c r="R42" s="51"/>
      <c r="S42" s="51"/>
    </row>
    <row r="43" spans="1:19" x14ac:dyDescent="0.25">
      <c r="A43" s="19">
        <v>44876</v>
      </c>
      <c r="B43" s="64">
        <f>17.8342*1000</f>
        <v>17834.2</v>
      </c>
      <c r="C43" s="64">
        <f>18.0135*1000</f>
        <v>18013.5</v>
      </c>
      <c r="D43" s="25">
        <f>17.9239*1000</f>
        <v>17923.900000000001</v>
      </c>
      <c r="F43" s="19">
        <v>44876</v>
      </c>
      <c r="G43" s="64">
        <f>20.8928*1000</f>
        <v>20892.800000000003</v>
      </c>
      <c r="H43" s="64">
        <f>21.11*1000</f>
        <v>21110</v>
      </c>
      <c r="I43" s="25">
        <f>20.0014*1000</f>
        <v>20001.400000000001</v>
      </c>
      <c r="K43" s="19">
        <v>44876</v>
      </c>
      <c r="L43" s="32">
        <f>18.247*1000</f>
        <v>18247</v>
      </c>
      <c r="M43" s="32">
        <f>18.4287*1000</f>
        <v>18428.7</v>
      </c>
      <c r="N43" s="33">
        <f>18.3378*1000</f>
        <v>18337.800000000003</v>
      </c>
      <c r="P43" s="19">
        <v>44876</v>
      </c>
      <c r="Q43" s="25">
        <f>23.0325*1000</f>
        <v>23032.5</v>
      </c>
      <c r="R43" s="51"/>
      <c r="S43" s="51"/>
    </row>
    <row r="44" spans="1:19" x14ac:dyDescent="0.25">
      <c r="A44" s="19">
        <v>44879</v>
      </c>
      <c r="B44" s="64">
        <f>17.7772*1000</f>
        <v>17777.2</v>
      </c>
      <c r="C44" s="64">
        <f>17.9559*1000</f>
        <v>17955.900000000001</v>
      </c>
      <c r="D44" s="25">
        <f>17.8666*1000</f>
        <v>17866.599999999999</v>
      </c>
      <c r="F44" s="19">
        <v>44879</v>
      </c>
      <c r="G44" s="64">
        <f>20.9984*1000</f>
        <v>20998.400000000001</v>
      </c>
      <c r="H44" s="64">
        <f>21.2167*1000</f>
        <v>21216.7</v>
      </c>
      <c r="I44" s="25">
        <f>21.1067*1000</f>
        <v>21106.7</v>
      </c>
      <c r="K44" s="19">
        <v>44879</v>
      </c>
      <c r="L44" s="32">
        <f>18.3729*1000</f>
        <v>18372.900000000001</v>
      </c>
      <c r="M44" s="32">
        <f>18.5542*1000</f>
        <v>18554.2</v>
      </c>
      <c r="N44" s="33">
        <f>18.4636*1000</f>
        <v>18463.599999999999</v>
      </c>
      <c r="P44" s="19">
        <v>44879</v>
      </c>
      <c r="Q44" s="25">
        <f>23.3887*1000</f>
        <v>23388.7</v>
      </c>
      <c r="R44" s="51"/>
      <c r="S44" s="51"/>
    </row>
    <row r="45" spans="1:19" x14ac:dyDescent="0.25">
      <c r="A45" s="19">
        <v>44880</v>
      </c>
      <c r="B45" s="64">
        <f>17.9107*1000</f>
        <v>17910.699999999997</v>
      </c>
      <c r="C45" s="64">
        <f>18.0907*1000</f>
        <v>18090.699999999997</v>
      </c>
      <c r="D45" s="25">
        <f>18.0007*1000</f>
        <v>18000.699999999997</v>
      </c>
      <c r="F45" s="19">
        <v>44880</v>
      </c>
      <c r="G45" s="64">
        <f>21.1669*1000</f>
        <v>21166.899999999998</v>
      </c>
      <c r="H45" s="64">
        <f>21.3832*1000</f>
        <v>21383.199999999997</v>
      </c>
      <c r="I45" s="25">
        <f>21.275*1000</f>
        <v>21275</v>
      </c>
      <c r="K45" s="19">
        <v>44880</v>
      </c>
      <c r="L45" s="32">
        <f>18.6361*1000</f>
        <v>18636.099999999999</v>
      </c>
      <c r="M45" s="32">
        <f>18.8166*1000</f>
        <v>18816.600000000002</v>
      </c>
      <c r="N45" s="33">
        <f>18.7264*1000</f>
        <v>18726.400000000001</v>
      </c>
      <c r="P45" s="19">
        <v>44880</v>
      </c>
      <c r="Q45" s="25">
        <f>23.558*1000</f>
        <v>23558</v>
      </c>
      <c r="R45" s="51"/>
      <c r="S45" s="51"/>
    </row>
    <row r="46" spans="1:19" x14ac:dyDescent="0.25">
      <c r="A46" s="19">
        <v>44881</v>
      </c>
      <c r="B46" s="64">
        <f>17.9154*1000</f>
        <v>17915.400000000001</v>
      </c>
      <c r="C46" s="64">
        <f>18.0954*1000</f>
        <v>18095.400000000001</v>
      </c>
      <c r="D46" s="25">
        <f>18.0054*1000</f>
        <v>18005.400000000001</v>
      </c>
      <c r="F46" s="19">
        <v>44881</v>
      </c>
      <c r="G46" s="64">
        <f>21.2942*1000</f>
        <v>21294.2</v>
      </c>
      <c r="H46" s="64">
        <f>21.5154*1000</f>
        <v>21515.4</v>
      </c>
      <c r="I46" s="25">
        <f>21.4048*1000</f>
        <v>21404.800000000003</v>
      </c>
      <c r="K46" s="19">
        <v>44881</v>
      </c>
      <c r="L46" s="32">
        <f>18.6416*1000</f>
        <v>18641.600000000002</v>
      </c>
      <c r="M46" s="32">
        <f>18.8269*1000</f>
        <v>18826.899999999998</v>
      </c>
      <c r="N46" s="33">
        <f>18.7342*1000</f>
        <v>18734.2</v>
      </c>
      <c r="P46" s="19">
        <v>44881</v>
      </c>
      <c r="Q46" s="25">
        <f>23.6944*1000</f>
        <v>23694.400000000001</v>
      </c>
      <c r="R46" s="51"/>
      <c r="S46" s="51"/>
    </row>
    <row r="47" spans="1:19" x14ac:dyDescent="0.25">
      <c r="A47" s="19">
        <v>44882</v>
      </c>
      <c r="B47" s="64">
        <f>17.9273*1000</f>
        <v>17927.3</v>
      </c>
      <c r="C47" s="64">
        <f>18.1074*1000</f>
        <v>18107.399999999998</v>
      </c>
      <c r="D47" s="25">
        <f>18.0173*1000</f>
        <v>18017.3</v>
      </c>
      <c r="F47" s="19">
        <v>44882</v>
      </c>
      <c r="G47" s="64">
        <f>21.3926*1000</f>
        <v>21392.600000000002</v>
      </c>
      <c r="H47" s="64">
        <f>21.6148*1000</f>
        <v>21614.799999999999</v>
      </c>
      <c r="I47" s="25">
        <f>21.5037*1000</f>
        <v>21503.699999999997</v>
      </c>
      <c r="K47" s="19">
        <v>44882</v>
      </c>
      <c r="L47" s="32">
        <f>18.625*1000</f>
        <v>18625</v>
      </c>
      <c r="M47" s="32">
        <f>18.8102*1000</f>
        <v>18810.199999999997</v>
      </c>
      <c r="N47" s="33">
        <f>18.7176*1000</f>
        <v>18717.600000000002</v>
      </c>
      <c r="P47" s="19">
        <v>44882</v>
      </c>
      <c r="Q47" s="25">
        <f>23.6976*1000</f>
        <v>23697.600000000002</v>
      </c>
      <c r="R47" s="51"/>
      <c r="S47" s="51"/>
    </row>
    <row r="48" spans="1:19" x14ac:dyDescent="0.25">
      <c r="A48" s="19">
        <v>44883</v>
      </c>
      <c r="B48" s="64">
        <f>17.9778*1000</f>
        <v>17977.8</v>
      </c>
      <c r="C48" s="64">
        <f>18.8185*1000</f>
        <v>18818.5</v>
      </c>
      <c r="D48" s="25">
        <f>18.0681*1000</f>
        <v>18068.100000000002</v>
      </c>
      <c r="F48" s="19">
        <v>44883</v>
      </c>
      <c r="G48" s="64">
        <f>21.39*1000</f>
        <v>21390</v>
      </c>
      <c r="H48" s="64">
        <f>21.6122*1000</f>
        <v>21612.2</v>
      </c>
      <c r="I48" s="25">
        <f>21.5011*1000</f>
        <v>21501.100000000002</v>
      </c>
      <c r="K48" s="19">
        <v>44883</v>
      </c>
      <c r="L48" s="32">
        <f>18.634*1000</f>
        <v>18634</v>
      </c>
      <c r="M48" s="32">
        <f>18.8194*1000</f>
        <v>18819.400000000001</v>
      </c>
      <c r="N48" s="33">
        <f>18.7267*1000</f>
        <v>18726.7</v>
      </c>
      <c r="P48" s="19">
        <v>44883</v>
      </c>
      <c r="Q48" s="25">
        <f>23.6803*1000</f>
        <v>23680.3</v>
      </c>
      <c r="R48" s="51"/>
      <c r="S48" s="51"/>
    </row>
    <row r="49" spans="1:19" x14ac:dyDescent="0.25">
      <c r="A49" s="19">
        <v>44886</v>
      </c>
      <c r="B49" s="64">
        <f>18.0876*1000</f>
        <v>18087.599999999999</v>
      </c>
      <c r="C49" s="64">
        <f>18.2694*1000</f>
        <v>18269.400000000001</v>
      </c>
      <c r="D49" s="25">
        <f>17.1785*1000</f>
        <v>17178.5</v>
      </c>
      <c r="F49" s="19">
        <v>44886</v>
      </c>
      <c r="G49" s="64">
        <f>21.3922*1000</f>
        <v>21392.2</v>
      </c>
      <c r="H49" s="64">
        <f>21.6145*1000</f>
        <v>21614.5</v>
      </c>
      <c r="I49" s="25">
        <f>21.5034*1000</f>
        <v>21503.399999999998</v>
      </c>
      <c r="K49" s="19">
        <v>44886</v>
      </c>
      <c r="L49" s="32">
        <f>18.5745*1000</f>
        <v>18574.5</v>
      </c>
      <c r="M49" s="32">
        <f>18.7577*1000</f>
        <v>18757.7</v>
      </c>
      <c r="N49" s="33">
        <f>18.6661*1000</f>
        <v>18666.099999999999</v>
      </c>
      <c r="P49" s="19">
        <v>44886</v>
      </c>
      <c r="Q49" s="25">
        <f>23.8594*1000</f>
        <v>23859.4</v>
      </c>
      <c r="R49" s="51"/>
      <c r="S49" s="51"/>
    </row>
    <row r="50" spans="1:19" x14ac:dyDescent="0.25">
      <c r="A50" s="19">
        <v>44887</v>
      </c>
      <c r="B50" s="64">
        <f>17.0216*1000</f>
        <v>17021.599999999999</v>
      </c>
      <c r="C50" s="64">
        <f>17.1927*1000</f>
        <v>17192.699999999997</v>
      </c>
      <c r="D50" s="25">
        <f>17.1071*1000</f>
        <v>17107.099999999999</v>
      </c>
      <c r="F50" s="19">
        <v>44887</v>
      </c>
      <c r="G50" s="64">
        <f>21.3155*1000</f>
        <v>21315.5</v>
      </c>
      <c r="H50" s="64">
        <f>21.537*1000</f>
        <v>21537</v>
      </c>
      <c r="I50" s="25">
        <f>21.4263*1000</f>
        <v>21426.300000000003</v>
      </c>
      <c r="K50" s="19">
        <v>44887</v>
      </c>
      <c r="L50" s="32">
        <f>18.4758*1000</f>
        <v>18475.8</v>
      </c>
      <c r="M50" s="32">
        <f>18.6581*1000</f>
        <v>18658.100000000002</v>
      </c>
      <c r="N50" s="33">
        <f>18.5669*1000</f>
        <v>18566.900000000001</v>
      </c>
      <c r="P50" s="19">
        <v>44887</v>
      </c>
      <c r="Q50" s="25">
        <f>23.59*1000</f>
        <v>23590</v>
      </c>
      <c r="R50" s="51"/>
      <c r="S50" s="51"/>
    </row>
    <row r="51" spans="1:19" x14ac:dyDescent="0.25">
      <c r="A51" s="19">
        <v>44888</v>
      </c>
      <c r="B51" s="64">
        <f>18.1177*1000</f>
        <v>18117.7</v>
      </c>
      <c r="C51" s="64">
        <f>18.2998*1000</f>
        <v>18299.800000000003</v>
      </c>
      <c r="D51" s="25">
        <f>18.2088*1000</f>
        <v>18208.8</v>
      </c>
      <c r="F51" s="19">
        <v>44888</v>
      </c>
      <c r="G51" s="64">
        <f>21.5782*1000</f>
        <v>21578.2</v>
      </c>
      <c r="H51" s="64">
        <f>21.8024*1000</f>
        <v>21802.399999999998</v>
      </c>
      <c r="I51" s="25">
        <f>21.6903*1000</f>
        <v>21690.3</v>
      </c>
      <c r="K51" s="19">
        <v>44888</v>
      </c>
      <c r="L51" s="32">
        <f>18.7506*1000</f>
        <v>18750.599999999999</v>
      </c>
      <c r="M51" s="32">
        <f>18.9372*1000</f>
        <v>18937.2</v>
      </c>
      <c r="N51" s="33">
        <f>18.8439*1000</f>
        <v>18843.900000000001</v>
      </c>
      <c r="P51" s="19">
        <v>44888</v>
      </c>
      <c r="Q51" s="25">
        <f>23.8024*1000</f>
        <v>23802.399999999998</v>
      </c>
      <c r="R51" s="51"/>
      <c r="S51" s="51"/>
    </row>
    <row r="52" spans="1:19" x14ac:dyDescent="0.25">
      <c r="A52" s="19">
        <v>44889</v>
      </c>
      <c r="B52" s="64">
        <f>18.0497*1000</f>
        <v>18049.7</v>
      </c>
      <c r="C52" s="64">
        <f>18.2311*1000</f>
        <v>18231.100000000002</v>
      </c>
      <c r="D52" s="25">
        <f>18.1404*1000</f>
        <v>18140.400000000001</v>
      </c>
      <c r="F52" s="19">
        <v>44889</v>
      </c>
      <c r="G52" s="64">
        <f>21.7896*1000</f>
        <v>21789.599999999999</v>
      </c>
      <c r="H52" s="64">
        <f>22.0159*1000</f>
        <v>22015.899999999998</v>
      </c>
      <c r="I52" s="25">
        <f>21.9027*1000</f>
        <v>21902.7</v>
      </c>
      <c r="K52" s="19">
        <v>44889</v>
      </c>
      <c r="L52" s="32">
        <f>18.7744*1000</f>
        <v>18774.400000000001</v>
      </c>
      <c r="M52" s="32">
        <f>18.9596*1000</f>
        <v>18959.599999999999</v>
      </c>
      <c r="N52" s="33">
        <f>18.867*1000</f>
        <v>18867</v>
      </c>
      <c r="P52" s="19">
        <v>44889</v>
      </c>
      <c r="Q52" s="25">
        <f>23.744*1000</f>
        <v>23744</v>
      </c>
      <c r="R52" s="51"/>
      <c r="S52" s="51"/>
    </row>
    <row r="53" spans="1:19" x14ac:dyDescent="0.25">
      <c r="A53" s="19">
        <v>44890</v>
      </c>
      <c r="B53" s="64">
        <f>18.1443*1000</f>
        <v>18144.300000000003</v>
      </c>
      <c r="C53" s="64">
        <f>18.3266*1000</f>
        <v>18326.599999999999</v>
      </c>
      <c r="D53" s="25">
        <f>18.2355*1000</f>
        <v>18235.5</v>
      </c>
      <c r="F53" s="19">
        <v>44890</v>
      </c>
      <c r="G53" s="64">
        <f>21.98*1000</f>
        <v>21980</v>
      </c>
      <c r="H53" s="64">
        <f>22.2082*1000</f>
        <v>22208.2</v>
      </c>
      <c r="I53" s="25">
        <f>22.0941*1000</f>
        <v>22094.100000000002</v>
      </c>
      <c r="K53" s="19">
        <v>44890</v>
      </c>
      <c r="L53" s="32">
        <f>18.1443*1000</f>
        <v>18144.300000000003</v>
      </c>
      <c r="M53" s="32">
        <f>18.3266*1000</f>
        <v>18326.599999999999</v>
      </c>
      <c r="N53" s="33">
        <f>18.2355*1000</f>
        <v>18235.5</v>
      </c>
      <c r="P53" s="19">
        <v>44890</v>
      </c>
      <c r="Q53" s="25">
        <f>23.8685*1000</f>
        <v>23868.5</v>
      </c>
      <c r="R53" s="51"/>
      <c r="S53" s="51"/>
    </row>
    <row r="54" spans="1:19" x14ac:dyDescent="0.25">
      <c r="A54" s="19">
        <v>44893</v>
      </c>
      <c r="B54" s="64">
        <f>18.1001*1000</f>
        <v>18100.100000000002</v>
      </c>
      <c r="C54" s="64">
        <f>18.282*1000</f>
        <v>18282</v>
      </c>
      <c r="D54" s="25">
        <f>18.191*1000</f>
        <v>18191</v>
      </c>
      <c r="F54" s="19">
        <v>44893</v>
      </c>
      <c r="G54" s="64">
        <f>21.8215*1000</f>
        <v>21821.5</v>
      </c>
      <c r="H54" s="64">
        <f>22.0481*1000</f>
        <v>22048.100000000002</v>
      </c>
      <c r="I54" s="25">
        <f>21.9348*1000</f>
        <v>21934.799999999999</v>
      </c>
      <c r="K54" s="19">
        <v>44893</v>
      </c>
      <c r="L54" s="32">
        <f>18.7857*1000</f>
        <v>18785.699999999997</v>
      </c>
      <c r="M54" s="32">
        <f>18.971*1000</f>
        <v>18971</v>
      </c>
      <c r="N54" s="33">
        <f>18.8784*1000</f>
        <v>18878.399999999998</v>
      </c>
      <c r="P54" s="19">
        <v>44893</v>
      </c>
      <c r="Q54" s="25">
        <f>23.8102*1000</f>
        <v>23810.199999999997</v>
      </c>
      <c r="R54" s="51"/>
      <c r="S54" s="51"/>
    </row>
    <row r="55" spans="1:19" x14ac:dyDescent="0.25">
      <c r="A55" s="19">
        <v>44894</v>
      </c>
      <c r="B55" s="64">
        <f>18.1974*1000</f>
        <v>18197.399999999998</v>
      </c>
      <c r="C55" s="64">
        <f>18.3803*1000</f>
        <v>18380.3</v>
      </c>
      <c r="D55" s="25">
        <f>18.2889*1000</f>
        <v>18288.900000000001</v>
      </c>
      <c r="F55" s="19">
        <v>44894</v>
      </c>
      <c r="G55" s="64">
        <f>21.9024*1000</f>
        <v>21902.400000000001</v>
      </c>
      <c r="H55" s="64">
        <f>22.1244*1000</f>
        <v>22124.400000000001</v>
      </c>
      <c r="I55" s="25">
        <f>22.0134*1000</f>
        <v>22013.4</v>
      </c>
      <c r="K55" s="19">
        <v>44894</v>
      </c>
      <c r="L55" s="32">
        <f>18.8944*1000</f>
        <v>18894.400000000001</v>
      </c>
      <c r="M55" s="32">
        <f>19.0777*1000</f>
        <v>19077.7</v>
      </c>
      <c r="N55" s="33">
        <f>18.986*1000</f>
        <v>18986</v>
      </c>
      <c r="P55" s="19">
        <v>44894</v>
      </c>
      <c r="Q55" s="25">
        <f>24.0897*1000</f>
        <v>24089.7</v>
      </c>
      <c r="R55" s="51"/>
      <c r="S55" s="51"/>
    </row>
    <row r="56" spans="1:19" ht="15.75" thickBot="1" x14ac:dyDescent="0.3">
      <c r="A56" s="36">
        <v>44895</v>
      </c>
      <c r="B56" s="37">
        <f>18.2353*1000</f>
        <v>18235.3</v>
      </c>
      <c r="C56" s="37">
        <f>18.4186*1000</f>
        <v>18418.600000000002</v>
      </c>
      <c r="D56" s="38">
        <f>18.3269*1000</f>
        <v>18326.899999999998</v>
      </c>
      <c r="F56" s="36">
        <v>44895</v>
      </c>
      <c r="G56" s="37">
        <f>21.8131*1000</f>
        <v>21813.1</v>
      </c>
      <c r="H56" s="37">
        <f>22.0342*1000</f>
        <v>22034.199999999997</v>
      </c>
      <c r="I56" s="38">
        <f>21.9236*1000</f>
        <v>21923.600000000002</v>
      </c>
      <c r="K56" s="36">
        <v>44895</v>
      </c>
      <c r="L56" s="83">
        <f>17.1256*1000</f>
        <v>17125.599999999999</v>
      </c>
      <c r="M56" s="83">
        <f>17.2962*1000</f>
        <v>17296.199999999997</v>
      </c>
      <c r="N56" s="84">
        <f>17.3336*1000</f>
        <v>17333.600000000002</v>
      </c>
      <c r="P56" s="36">
        <v>44895</v>
      </c>
      <c r="Q56" s="38">
        <f>24.0858*1000</f>
        <v>24085.8</v>
      </c>
      <c r="R56" s="51"/>
      <c r="S56" s="51"/>
    </row>
    <row r="57" spans="1:19" ht="15.75" thickBot="1" x14ac:dyDescent="0.3">
      <c r="A57" s="54" t="s">
        <v>6</v>
      </c>
      <c r="B57" s="66">
        <f>AVERAGE(B35:B56)</f>
        <v>17798.386363636364</v>
      </c>
      <c r="C57" s="66">
        <f>AVERAGE(C35:C56)</f>
        <v>18007.25909090909</v>
      </c>
      <c r="D57" s="63">
        <f>AVERAGE(D35:D56)</f>
        <v>17842.363636363636</v>
      </c>
      <c r="F57" s="39" t="s">
        <v>6</v>
      </c>
      <c r="G57" s="40">
        <f>AVERAGE(G35:G56)</f>
        <v>20945.349999999999</v>
      </c>
      <c r="H57" s="41">
        <f>AVERAGE(H35:H56)</f>
        <v>21161.99545454546</v>
      </c>
      <c r="I57" s="42">
        <f>AVERAGE(I35:I56)</f>
        <v>21008.140909090907</v>
      </c>
      <c r="K57" s="54" t="s">
        <v>6</v>
      </c>
      <c r="L57" s="66">
        <f>AVERAGE(L35:L56)</f>
        <v>18086.354545454546</v>
      </c>
      <c r="M57" s="66">
        <f>AVERAGE(M35:M56)</f>
        <v>18219.55</v>
      </c>
      <c r="N57" s="66">
        <f>AVERAGE(N35:N56)</f>
        <v>18181.250000000004</v>
      </c>
      <c r="P57" s="21" t="s">
        <v>6</v>
      </c>
      <c r="Q57" s="44">
        <f>AVERAGE(Q35:Q56)</f>
        <v>23312.263636363637</v>
      </c>
      <c r="R57" s="51"/>
      <c r="S57" s="51"/>
    </row>
    <row r="59" spans="1:19" x14ac:dyDescent="0.25">
      <c r="A59" s="45" t="s">
        <v>12</v>
      </c>
      <c r="B59" s="45"/>
      <c r="K59" s="45" t="s">
        <v>12</v>
      </c>
      <c r="L59" s="45"/>
    </row>
    <row r="60" spans="1:19" x14ac:dyDescent="0.25">
      <c r="A60" s="45" t="s">
        <v>19</v>
      </c>
      <c r="B60" s="45"/>
      <c r="K60" s="45" t="s">
        <v>19</v>
      </c>
      <c r="L60" s="45"/>
    </row>
    <row r="61" spans="1:19" x14ac:dyDescent="0.25">
      <c r="A61" s="45" t="s">
        <v>14</v>
      </c>
      <c r="B61" s="45"/>
      <c r="K61" s="45" t="s">
        <v>14</v>
      </c>
      <c r="L61" s="45"/>
    </row>
  </sheetData>
  <mergeCells count="22">
    <mergeCell ref="A1:D1"/>
    <mergeCell ref="A2:A3"/>
    <mergeCell ref="B2:D2"/>
    <mergeCell ref="A32:D32"/>
    <mergeCell ref="A33:A34"/>
    <mergeCell ref="B33:D33"/>
    <mergeCell ref="F1:I1"/>
    <mergeCell ref="F2:F3"/>
    <mergeCell ref="G2:I2"/>
    <mergeCell ref="F32:I32"/>
    <mergeCell ref="F33:F34"/>
    <mergeCell ref="G33:I33"/>
    <mergeCell ref="P2:P3"/>
    <mergeCell ref="Q2:Q3"/>
    <mergeCell ref="P33:P34"/>
    <mergeCell ref="Q33:Q34"/>
    <mergeCell ref="K1:N1"/>
    <mergeCell ref="K2:K3"/>
    <mergeCell ref="L2:N2"/>
    <mergeCell ref="K32:N32"/>
    <mergeCell ref="K33:K34"/>
    <mergeCell ref="L33:N3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workbookViewId="0">
      <selection activeCell="G59" sqref="G59"/>
    </sheetView>
  </sheetViews>
  <sheetFormatPr defaultRowHeight="15" x14ac:dyDescent="0.25"/>
  <cols>
    <col min="1" max="1" width="11.85546875" bestFit="1" customWidth="1"/>
    <col min="2" max="2" width="13.42578125" customWidth="1"/>
    <col min="3" max="3" width="13.140625" customWidth="1"/>
    <col min="4" max="4" width="15" customWidth="1"/>
    <col min="6" max="6" width="12.28515625" customWidth="1"/>
    <col min="7" max="7" width="13.7109375" customWidth="1"/>
    <col min="8" max="8" width="12.42578125" customWidth="1"/>
    <col min="9" max="9" width="12.85546875" customWidth="1"/>
    <col min="11" max="11" width="12.28515625" customWidth="1"/>
    <col min="12" max="12" width="13.7109375" customWidth="1"/>
    <col min="13" max="13" width="12.42578125" customWidth="1"/>
    <col min="14" max="14" width="12.85546875" customWidth="1"/>
    <col min="16" max="16" width="12.28515625" customWidth="1"/>
    <col min="17" max="17" width="13.7109375" customWidth="1"/>
  </cols>
  <sheetData>
    <row r="1" spans="1:19" ht="15.75" thickBot="1" x14ac:dyDescent="0.3">
      <c r="A1" s="155" t="s">
        <v>17</v>
      </c>
      <c r="B1" s="155"/>
      <c r="C1" s="155"/>
      <c r="D1" s="155"/>
      <c r="F1" s="155" t="s">
        <v>17</v>
      </c>
      <c r="G1" s="155"/>
      <c r="H1" s="155"/>
      <c r="I1" s="155"/>
      <c r="K1" s="155" t="s">
        <v>17</v>
      </c>
      <c r="L1" s="155"/>
      <c r="M1" s="155"/>
      <c r="N1" s="155"/>
      <c r="P1" s="47" t="s">
        <v>18</v>
      </c>
      <c r="Q1" s="17"/>
      <c r="R1" s="51"/>
      <c r="S1" s="51"/>
    </row>
    <row r="2" spans="1:19" ht="15.75" customHeight="1" thickBot="1" x14ac:dyDescent="0.3">
      <c r="A2" s="151" t="s">
        <v>1</v>
      </c>
      <c r="B2" s="156" t="s">
        <v>2</v>
      </c>
      <c r="C2" s="157"/>
      <c r="D2" s="158"/>
      <c r="F2" s="151" t="s">
        <v>1</v>
      </c>
      <c r="G2" s="156" t="s">
        <v>7</v>
      </c>
      <c r="H2" s="157"/>
      <c r="I2" s="158"/>
      <c r="K2" s="151" t="s">
        <v>1</v>
      </c>
      <c r="L2" s="156" t="s">
        <v>8</v>
      </c>
      <c r="M2" s="157"/>
      <c r="N2" s="158"/>
      <c r="P2" s="151" t="s">
        <v>10</v>
      </c>
      <c r="Q2" s="153" t="s">
        <v>11</v>
      </c>
      <c r="R2" s="51"/>
      <c r="S2" s="51"/>
    </row>
    <row r="3" spans="1:19" ht="15.75" thickBot="1" x14ac:dyDescent="0.3">
      <c r="A3" s="240"/>
      <c r="B3" s="52" t="s">
        <v>3</v>
      </c>
      <c r="C3" s="52" t="s">
        <v>4</v>
      </c>
      <c r="D3" s="52" t="s">
        <v>5</v>
      </c>
      <c r="F3" s="152"/>
      <c r="G3" s="52" t="s">
        <v>3</v>
      </c>
      <c r="H3" s="52" t="s">
        <v>4</v>
      </c>
      <c r="I3" s="52" t="s">
        <v>5</v>
      </c>
      <c r="K3" s="240"/>
      <c r="L3" s="52" t="s">
        <v>3</v>
      </c>
      <c r="M3" s="52" t="s">
        <v>4</v>
      </c>
      <c r="N3" s="52" t="s">
        <v>5</v>
      </c>
      <c r="P3" s="240"/>
      <c r="Q3" s="154"/>
      <c r="R3" s="51"/>
      <c r="S3" s="51"/>
    </row>
    <row r="4" spans="1:19" x14ac:dyDescent="0.25">
      <c r="A4" s="68">
        <v>44896</v>
      </c>
      <c r="B4" s="55">
        <v>18.294599999999999</v>
      </c>
      <c r="C4" s="55">
        <v>18.4785</v>
      </c>
      <c r="D4" s="56">
        <v>18.386600000000001</v>
      </c>
      <c r="F4" s="53">
        <v>44896</v>
      </c>
      <c r="G4" s="13">
        <v>19.070499999999999</v>
      </c>
      <c r="H4" s="13">
        <v>19.253900000000002</v>
      </c>
      <c r="I4" s="56">
        <v>19.162199999999999</v>
      </c>
      <c r="K4" s="68">
        <v>44896</v>
      </c>
      <c r="L4" s="55">
        <v>22.1218</v>
      </c>
      <c r="M4" s="55">
        <v>22.3461</v>
      </c>
      <c r="N4" s="56">
        <v>22.233899999999998</v>
      </c>
      <c r="P4" s="68">
        <v>44896</v>
      </c>
      <c r="Q4" s="56">
        <v>24.177</v>
      </c>
      <c r="R4" s="51"/>
      <c r="S4" s="51"/>
    </row>
    <row r="5" spans="1:19" x14ac:dyDescent="0.25">
      <c r="A5" s="68">
        <v>44897</v>
      </c>
      <c r="B5" s="57">
        <v>18.3294</v>
      </c>
      <c r="C5" s="57">
        <v>18.5136</v>
      </c>
      <c r="D5" s="58">
        <v>18.421500000000002</v>
      </c>
      <c r="F5" s="53">
        <v>44897</v>
      </c>
      <c r="G5" s="14">
        <v>19.2865</v>
      </c>
      <c r="H5" s="14">
        <v>19.476600000000001</v>
      </c>
      <c r="I5" s="58">
        <v>19.381599999999999</v>
      </c>
      <c r="K5" s="68">
        <v>44897</v>
      </c>
      <c r="L5" s="57">
        <v>22.4572</v>
      </c>
      <c r="M5" s="57">
        <v>22.690300000000001</v>
      </c>
      <c r="N5" s="58">
        <v>22.573699999999999</v>
      </c>
      <c r="P5" s="68">
        <v>44897</v>
      </c>
      <c r="Q5" s="58">
        <v>24.331700000000001</v>
      </c>
      <c r="R5" s="51"/>
      <c r="S5" s="51"/>
    </row>
    <row r="6" spans="1:19" x14ac:dyDescent="0.25">
      <c r="A6" s="68">
        <v>44900</v>
      </c>
      <c r="B6" s="57">
        <v>18.327300000000001</v>
      </c>
      <c r="C6" s="57">
        <v>18.511500000000002</v>
      </c>
      <c r="D6" s="58">
        <v>18.4194</v>
      </c>
      <c r="F6" s="53">
        <v>44900</v>
      </c>
      <c r="G6" s="14">
        <v>19.327500000000001</v>
      </c>
      <c r="H6" s="14">
        <v>19.514900000000001</v>
      </c>
      <c r="I6" s="58">
        <v>19.421199999999999</v>
      </c>
      <c r="K6" s="68">
        <v>44900</v>
      </c>
      <c r="L6" s="57">
        <v>22.5243</v>
      </c>
      <c r="M6" s="57">
        <v>22.754300000000001</v>
      </c>
      <c r="N6" s="58">
        <v>22.639299999999999</v>
      </c>
      <c r="P6" s="68">
        <v>44900</v>
      </c>
      <c r="Q6" s="58">
        <v>24.4679</v>
      </c>
      <c r="R6" s="51"/>
      <c r="S6" s="51"/>
    </row>
    <row r="7" spans="1:19" x14ac:dyDescent="0.25">
      <c r="A7" s="68">
        <v>44901</v>
      </c>
      <c r="B7" s="57">
        <v>18.403500000000001</v>
      </c>
      <c r="C7" s="57">
        <v>18.5884</v>
      </c>
      <c r="D7" s="58">
        <v>18.495999999999999</v>
      </c>
      <c r="F7" s="53">
        <v>44901</v>
      </c>
      <c r="G7" s="14">
        <v>19.306899999999999</v>
      </c>
      <c r="H7" s="14">
        <v>19.4924</v>
      </c>
      <c r="I7" s="58">
        <v>19.399699999999999</v>
      </c>
      <c r="K7" s="68">
        <v>44901</v>
      </c>
      <c r="L7" s="57">
        <v>22.457799999999999</v>
      </c>
      <c r="M7" s="57">
        <v>22.685300000000002</v>
      </c>
      <c r="N7" s="58">
        <v>22.5715</v>
      </c>
      <c r="P7" s="68">
        <v>44901</v>
      </c>
      <c r="Q7" s="58">
        <v>24.6023</v>
      </c>
      <c r="R7" s="51"/>
      <c r="S7" s="51"/>
    </row>
    <row r="8" spans="1:19" x14ac:dyDescent="0.25">
      <c r="A8" s="68">
        <v>44902</v>
      </c>
      <c r="B8" s="57">
        <v>18.363700000000001</v>
      </c>
      <c r="C8" s="57">
        <v>18.548300000000001</v>
      </c>
      <c r="D8" s="58">
        <v>18.456</v>
      </c>
      <c r="F8" s="53">
        <v>44902</v>
      </c>
      <c r="G8" s="14">
        <v>19.212399999999999</v>
      </c>
      <c r="H8" s="14">
        <v>19.401900000000001</v>
      </c>
      <c r="I8" s="58">
        <v>19.307200000000002</v>
      </c>
      <c r="K8" s="68">
        <v>44902</v>
      </c>
      <c r="L8" s="57">
        <v>22.2807</v>
      </c>
      <c r="M8" s="57">
        <v>22.5121</v>
      </c>
      <c r="N8" s="58">
        <v>22.3964</v>
      </c>
      <c r="P8" s="68">
        <v>44902</v>
      </c>
      <c r="Q8" s="58">
        <v>24.4742</v>
      </c>
      <c r="R8" s="51"/>
      <c r="S8" s="51"/>
    </row>
    <row r="9" spans="1:19" x14ac:dyDescent="0.25">
      <c r="A9" s="68">
        <v>44903</v>
      </c>
      <c r="B9" s="57">
        <v>18.437799999999999</v>
      </c>
      <c r="C9" s="57">
        <v>18.623100000000001</v>
      </c>
      <c r="D9" s="58">
        <v>18.5304</v>
      </c>
      <c r="F9" s="53">
        <v>44903</v>
      </c>
      <c r="G9" s="14">
        <v>19.410599999999999</v>
      </c>
      <c r="H9" s="14">
        <v>19.6035</v>
      </c>
      <c r="I9" s="58">
        <v>19.507000000000001</v>
      </c>
      <c r="K9" s="68">
        <v>44903</v>
      </c>
      <c r="L9" s="57">
        <v>22.516200000000001</v>
      </c>
      <c r="M9" s="57">
        <v>22.751799999999999</v>
      </c>
      <c r="N9" s="58">
        <v>22.634</v>
      </c>
      <c r="P9" s="68">
        <v>44903</v>
      </c>
      <c r="Q9" s="58">
        <v>24.5306</v>
      </c>
      <c r="R9" s="51"/>
      <c r="S9" s="51"/>
    </row>
    <row r="10" spans="1:19" x14ac:dyDescent="0.25">
      <c r="A10" s="68">
        <v>44904</v>
      </c>
      <c r="B10" s="57">
        <v>18.425599999999999</v>
      </c>
      <c r="C10" s="57">
        <v>18.610800000000001</v>
      </c>
      <c r="D10" s="58">
        <v>18.5182</v>
      </c>
      <c r="F10" s="53">
        <v>44904</v>
      </c>
      <c r="G10" s="57">
        <v>19.485600000000002</v>
      </c>
      <c r="H10" s="14">
        <v>19.677800000000001</v>
      </c>
      <c r="I10" s="58">
        <v>19.581700000000001</v>
      </c>
      <c r="K10" s="68">
        <v>44904</v>
      </c>
      <c r="L10" s="57">
        <v>22.5916</v>
      </c>
      <c r="M10" s="57">
        <v>22.824300000000001</v>
      </c>
      <c r="N10" s="58">
        <v>22.707999999999998</v>
      </c>
      <c r="P10" s="68">
        <v>44904</v>
      </c>
      <c r="Q10" s="58">
        <v>24.543700000000001</v>
      </c>
      <c r="R10" s="51"/>
      <c r="S10" s="51"/>
    </row>
    <row r="11" spans="1:19" x14ac:dyDescent="0.25">
      <c r="A11" s="68">
        <v>44907</v>
      </c>
      <c r="B11" s="57">
        <v>18.388500000000001</v>
      </c>
      <c r="C11" s="57">
        <v>18.5733</v>
      </c>
      <c r="D11" s="58">
        <v>18.480899999999998</v>
      </c>
      <c r="F11" s="53">
        <v>44907</v>
      </c>
      <c r="G11" s="57">
        <v>19.360299999999999</v>
      </c>
      <c r="H11" s="14">
        <v>19.557600000000001</v>
      </c>
      <c r="I11" s="58">
        <v>19.4589</v>
      </c>
      <c r="K11" s="68">
        <v>44907</v>
      </c>
      <c r="L11" s="57">
        <v>22.492799999999999</v>
      </c>
      <c r="M11" s="57">
        <v>22.733699999999999</v>
      </c>
      <c r="N11" s="58">
        <v>22.613299999999999</v>
      </c>
      <c r="P11" s="68">
        <v>44907</v>
      </c>
      <c r="Q11" s="58">
        <v>24.5593</v>
      </c>
      <c r="R11" s="51"/>
      <c r="S11" s="51"/>
    </row>
    <row r="12" spans="1:19" x14ac:dyDescent="0.25">
      <c r="A12" s="68">
        <v>44908</v>
      </c>
      <c r="B12" s="57">
        <v>18.541</v>
      </c>
      <c r="C12" s="57">
        <v>18.727399999999999</v>
      </c>
      <c r="D12" s="58">
        <v>18.6342</v>
      </c>
      <c r="F12" s="53">
        <v>44908</v>
      </c>
      <c r="G12" s="14">
        <v>19.567900000000002</v>
      </c>
      <c r="H12" s="14">
        <v>19.7608</v>
      </c>
      <c r="I12" s="58">
        <v>19.664400000000001</v>
      </c>
      <c r="K12" s="68">
        <v>44908</v>
      </c>
      <c r="L12" s="57">
        <v>22.753499999999999</v>
      </c>
      <c r="M12" s="57">
        <v>22.989799999999999</v>
      </c>
      <c r="N12" s="58">
        <v>22.871600000000001</v>
      </c>
      <c r="P12" s="68">
        <v>44908</v>
      </c>
      <c r="Q12" s="58">
        <v>24.763100000000001</v>
      </c>
      <c r="R12" s="51"/>
      <c r="S12" s="51"/>
    </row>
    <row r="13" spans="1:19" x14ac:dyDescent="0.25">
      <c r="A13" s="68">
        <v>44909</v>
      </c>
      <c r="B13" s="57">
        <v>18.6114</v>
      </c>
      <c r="C13" s="57">
        <v>18.798400000000001</v>
      </c>
      <c r="D13" s="58">
        <v>18.704899999999999</v>
      </c>
      <c r="F13" s="53">
        <v>44909</v>
      </c>
      <c r="G13" s="14">
        <v>19.776599999999998</v>
      </c>
      <c r="H13" s="14">
        <v>19.973099999999999</v>
      </c>
      <c r="I13" s="58">
        <v>19.8749</v>
      </c>
      <c r="K13" s="68">
        <v>44909</v>
      </c>
      <c r="L13" s="57">
        <v>22.996200000000002</v>
      </c>
      <c r="M13" s="57">
        <v>23.236699999999999</v>
      </c>
      <c r="N13" s="58">
        <v>23.116499999999998</v>
      </c>
      <c r="P13" s="68">
        <v>44909</v>
      </c>
      <c r="Q13" s="58">
        <v>24.8109</v>
      </c>
      <c r="R13" s="51"/>
      <c r="S13" s="51"/>
    </row>
    <row r="14" spans="1:19" x14ac:dyDescent="0.25">
      <c r="A14" s="68">
        <v>44910</v>
      </c>
      <c r="B14" s="57">
        <v>18.5749</v>
      </c>
      <c r="C14" s="57">
        <v>18.761600000000001</v>
      </c>
      <c r="D14" s="58">
        <v>18.668299999999999</v>
      </c>
      <c r="F14" s="53">
        <v>44910</v>
      </c>
      <c r="G14" s="14">
        <v>19.770199999999999</v>
      </c>
      <c r="H14" s="14">
        <v>19.9619</v>
      </c>
      <c r="I14" s="58">
        <v>19.866099999999999</v>
      </c>
      <c r="K14" s="68">
        <v>44910</v>
      </c>
      <c r="L14" s="57">
        <v>22.980899999999998</v>
      </c>
      <c r="M14" s="57">
        <v>22.213699999999999</v>
      </c>
      <c r="N14" s="58">
        <v>22.097300000000001</v>
      </c>
      <c r="P14" s="68">
        <v>44910</v>
      </c>
      <c r="Q14" s="58">
        <v>24.901</v>
      </c>
      <c r="R14" s="51"/>
      <c r="S14" s="51"/>
    </row>
    <row r="15" spans="1:19" x14ac:dyDescent="0.25">
      <c r="A15" s="68">
        <v>44911</v>
      </c>
      <c r="B15" s="57">
        <v>18.6006</v>
      </c>
      <c r="C15" s="57">
        <v>18.787500000000001</v>
      </c>
      <c r="D15" s="58">
        <v>18.694099999999999</v>
      </c>
      <c r="F15" s="53">
        <v>44911</v>
      </c>
      <c r="G15" s="57">
        <v>19.7928</v>
      </c>
      <c r="H15" s="57">
        <v>19.9877</v>
      </c>
      <c r="I15" s="58">
        <v>19.8903</v>
      </c>
      <c r="K15" s="68">
        <v>44911</v>
      </c>
      <c r="L15" s="57">
        <v>22.666699999999999</v>
      </c>
      <c r="M15" s="57">
        <v>22.902000000000001</v>
      </c>
      <c r="N15" s="58">
        <v>22.784300000000002</v>
      </c>
      <c r="P15" s="68">
        <v>44911</v>
      </c>
      <c r="Q15" s="58">
        <v>24.879000000000001</v>
      </c>
      <c r="R15" s="51"/>
      <c r="S15" s="51"/>
    </row>
    <row r="16" spans="1:19" x14ac:dyDescent="0.25">
      <c r="A16" s="68">
        <v>44914</v>
      </c>
      <c r="B16" s="57">
        <v>18.632400000000001</v>
      </c>
      <c r="C16" s="57">
        <v>18.819600000000001</v>
      </c>
      <c r="D16" s="58">
        <v>18.725999999999999</v>
      </c>
      <c r="F16" s="53">
        <v>44914</v>
      </c>
      <c r="G16" s="57">
        <v>19.814800000000002</v>
      </c>
      <c r="H16" s="57">
        <v>20.016500000000001</v>
      </c>
      <c r="I16" s="58">
        <v>19.915700000000001</v>
      </c>
      <c r="K16" s="68">
        <v>44914</v>
      </c>
      <c r="L16" s="57">
        <v>22.7315</v>
      </c>
      <c r="M16" s="57">
        <v>22.975000000000001</v>
      </c>
      <c r="N16" s="58">
        <v>22.853200000000001</v>
      </c>
      <c r="P16" s="68">
        <v>44914</v>
      </c>
      <c r="Q16" s="58">
        <v>24.904900000000001</v>
      </c>
      <c r="R16" s="51"/>
      <c r="S16" s="51"/>
    </row>
    <row r="17" spans="1:19" x14ac:dyDescent="0.25">
      <c r="A17" s="68">
        <v>44915</v>
      </c>
      <c r="B17" s="57">
        <v>18.6342</v>
      </c>
      <c r="C17" s="57">
        <v>18.8215</v>
      </c>
      <c r="D17" s="58">
        <v>18.727900000000002</v>
      </c>
      <c r="F17" s="53">
        <v>44915</v>
      </c>
      <c r="G17" s="14">
        <v>19.766300000000001</v>
      </c>
      <c r="H17" s="57">
        <v>19.964500000000001</v>
      </c>
      <c r="I17" s="58">
        <v>19.865400000000001</v>
      </c>
      <c r="K17" s="68">
        <v>44915</v>
      </c>
      <c r="L17" s="57">
        <v>22.644300000000001</v>
      </c>
      <c r="M17" s="57">
        <v>22.8813</v>
      </c>
      <c r="N17" s="58">
        <v>22.762799999999999</v>
      </c>
      <c r="P17" s="68">
        <v>44915</v>
      </c>
      <c r="Q17" s="58">
        <v>24.897500000000001</v>
      </c>
      <c r="R17" s="51"/>
      <c r="S17" s="51"/>
    </row>
    <row r="18" spans="1:19" x14ac:dyDescent="0.25">
      <c r="A18" s="68">
        <v>44916</v>
      </c>
      <c r="B18" s="57">
        <v>18.721800000000002</v>
      </c>
      <c r="C18" s="57">
        <v>18.91</v>
      </c>
      <c r="D18" s="58">
        <v>18.815899999999999</v>
      </c>
      <c r="F18" s="53">
        <v>44916</v>
      </c>
      <c r="G18" s="14">
        <v>19.897600000000001</v>
      </c>
      <c r="H18" s="14">
        <v>20.093699999999998</v>
      </c>
      <c r="I18" s="58">
        <v>19.995699999999999</v>
      </c>
      <c r="K18" s="68">
        <v>44916</v>
      </c>
      <c r="L18" s="57">
        <v>22.747</v>
      </c>
      <c r="M18" s="57">
        <v>22.9832</v>
      </c>
      <c r="N18" s="58">
        <v>22.865100000000002</v>
      </c>
      <c r="P18" s="68">
        <v>44916</v>
      </c>
      <c r="Q18" s="58">
        <v>25.091200000000001</v>
      </c>
      <c r="R18" s="51"/>
      <c r="S18" s="51"/>
    </row>
    <row r="19" spans="1:19" x14ac:dyDescent="0.25">
      <c r="A19" s="68">
        <v>44917</v>
      </c>
      <c r="B19" s="57">
        <v>18.706800000000001</v>
      </c>
      <c r="C19" s="57">
        <v>18.8948</v>
      </c>
      <c r="D19" s="58">
        <v>18.800799999999999</v>
      </c>
      <c r="F19" s="53">
        <v>44917</v>
      </c>
      <c r="G19" s="14">
        <v>19.9101</v>
      </c>
      <c r="H19" s="57">
        <v>20.108000000000001</v>
      </c>
      <c r="I19" s="58">
        <v>20.0091</v>
      </c>
      <c r="K19" s="68">
        <v>44917</v>
      </c>
      <c r="L19" s="57">
        <v>22.6876</v>
      </c>
      <c r="M19" s="57">
        <v>22.923200000000001</v>
      </c>
      <c r="N19" s="58">
        <v>22.805399999999999</v>
      </c>
      <c r="P19" s="68">
        <v>44917</v>
      </c>
      <c r="Q19" s="58">
        <v>25.0444</v>
      </c>
      <c r="R19" s="51"/>
      <c r="S19" s="51"/>
    </row>
    <row r="20" spans="1:19" x14ac:dyDescent="0.25">
      <c r="A20" s="68">
        <v>44918</v>
      </c>
      <c r="B20" s="57">
        <v>18.7531</v>
      </c>
      <c r="C20" s="57">
        <v>18.941600000000001</v>
      </c>
      <c r="D20" s="58">
        <v>18.8474</v>
      </c>
      <c r="F20" s="53">
        <v>44918</v>
      </c>
      <c r="G20" s="57">
        <v>19.913499999999999</v>
      </c>
      <c r="H20" s="57">
        <v>20.1065</v>
      </c>
      <c r="I20" s="58">
        <v>20.010000000000002</v>
      </c>
      <c r="K20" s="68">
        <v>44918</v>
      </c>
      <c r="L20" s="57">
        <v>22.623699999999999</v>
      </c>
      <c r="M20" s="57">
        <v>22.853000000000002</v>
      </c>
      <c r="N20" s="58">
        <v>22.738399999999999</v>
      </c>
      <c r="P20" s="68">
        <v>44918</v>
      </c>
      <c r="Q20" s="58">
        <v>25.0931</v>
      </c>
      <c r="R20" s="51"/>
      <c r="S20" s="51"/>
    </row>
    <row r="21" spans="1:19" x14ac:dyDescent="0.25">
      <c r="A21" s="68">
        <v>44922</v>
      </c>
      <c r="B21" s="57">
        <v>18.578399999999998</v>
      </c>
      <c r="C21" s="57">
        <v>18.7651</v>
      </c>
      <c r="D21" s="58">
        <v>18.671700000000001</v>
      </c>
      <c r="F21" s="53">
        <v>44922</v>
      </c>
      <c r="G21" s="14">
        <v>19.7926</v>
      </c>
      <c r="H21" s="57">
        <v>19.9893</v>
      </c>
      <c r="I21" s="58">
        <v>19.890899999999998</v>
      </c>
      <c r="K21" s="68">
        <v>44922</v>
      </c>
      <c r="L21" s="57">
        <v>22.411100000000001</v>
      </c>
      <c r="M21" s="57">
        <v>22.643799999999999</v>
      </c>
      <c r="N21" s="58">
        <v>22.5275</v>
      </c>
      <c r="P21" s="68">
        <v>44922</v>
      </c>
      <c r="Q21" s="58">
        <v>24.8492</v>
      </c>
      <c r="R21" s="51"/>
      <c r="S21" s="51"/>
    </row>
    <row r="22" spans="1:19" x14ac:dyDescent="0.25">
      <c r="A22" s="68">
        <v>44923</v>
      </c>
      <c r="B22" s="57">
        <v>18.720600000000001</v>
      </c>
      <c r="C22" s="57">
        <v>18.9087</v>
      </c>
      <c r="D22" s="58">
        <v>18.814699999999998</v>
      </c>
      <c r="F22" s="53">
        <v>44923</v>
      </c>
      <c r="G22" s="14">
        <v>19.930399999999999</v>
      </c>
      <c r="H22" s="57">
        <v>20.128399999999999</v>
      </c>
      <c r="I22" s="58">
        <v>20.029399999999999</v>
      </c>
      <c r="K22" s="68">
        <v>44923</v>
      </c>
      <c r="L22" s="57">
        <v>22.545200000000001</v>
      </c>
      <c r="M22" s="57">
        <v>22.779299999999999</v>
      </c>
      <c r="N22" s="58">
        <v>22.662299999999998</v>
      </c>
      <c r="P22" s="68">
        <v>44923</v>
      </c>
      <c r="Q22" s="58">
        <v>25.0395</v>
      </c>
      <c r="R22" s="51"/>
      <c r="S22" s="51"/>
    </row>
    <row r="23" spans="1:19" x14ac:dyDescent="0.25">
      <c r="A23" s="68">
        <v>44924</v>
      </c>
      <c r="B23" s="59">
        <v>18.808599999999998</v>
      </c>
      <c r="C23" s="59">
        <v>18.997599999999998</v>
      </c>
      <c r="D23" s="60">
        <v>18.903099999999998</v>
      </c>
      <c r="F23" s="53">
        <v>44924</v>
      </c>
      <c r="G23" s="59">
        <v>20.007000000000001</v>
      </c>
      <c r="H23" s="15">
        <v>20.202500000000001</v>
      </c>
      <c r="I23" s="60">
        <v>20.104700000000001</v>
      </c>
      <c r="K23" s="68">
        <v>44924</v>
      </c>
      <c r="L23" s="59">
        <v>22.639900000000001</v>
      </c>
      <c r="M23" s="59">
        <v>22.871200000000002</v>
      </c>
      <c r="N23" s="60">
        <v>22.755600000000001</v>
      </c>
      <c r="P23" s="68">
        <v>44924</v>
      </c>
      <c r="Q23" s="60">
        <v>25.1572</v>
      </c>
      <c r="R23" s="51"/>
      <c r="S23" s="51"/>
    </row>
    <row r="24" spans="1:19" ht="15.75" thickBot="1" x14ac:dyDescent="0.3">
      <c r="A24" s="68">
        <v>44925</v>
      </c>
      <c r="B24" s="59">
        <v>18.7408</v>
      </c>
      <c r="C24" s="59">
        <v>18.929200000000002</v>
      </c>
      <c r="D24" s="60">
        <v>18.835000000000001</v>
      </c>
      <c r="F24" s="53">
        <v>44925</v>
      </c>
      <c r="G24" s="15">
        <v>19.988299999999999</v>
      </c>
      <c r="H24" s="15">
        <v>20.181899999999999</v>
      </c>
      <c r="I24" s="60">
        <v>20.085100000000001</v>
      </c>
      <c r="K24" s="68">
        <v>44925</v>
      </c>
      <c r="L24" s="59">
        <v>22.610800000000001</v>
      </c>
      <c r="M24" s="59">
        <v>22.841899999999999</v>
      </c>
      <c r="N24" s="60">
        <v>22.726299999999998</v>
      </c>
      <c r="P24" s="68">
        <v>44925</v>
      </c>
      <c r="Q24" s="60">
        <v>25.066500000000001</v>
      </c>
      <c r="R24" s="51"/>
      <c r="S24" s="51"/>
    </row>
    <row r="25" spans="1:19" ht="15.75" thickBot="1" x14ac:dyDescent="0.3">
      <c r="A25" s="54" t="s">
        <v>6</v>
      </c>
      <c r="B25" s="61">
        <v>18.552142857142854</v>
      </c>
      <c r="C25" s="61">
        <v>18.738595238095236</v>
      </c>
      <c r="D25" s="62">
        <v>18.64538095238095</v>
      </c>
      <c r="F25" s="54" t="s">
        <v>6</v>
      </c>
      <c r="G25" s="61">
        <f>AVERAGE(G4:G24)</f>
        <v>19.637542857142858</v>
      </c>
      <c r="H25" s="61">
        <f>AVERAGE(H4:H24)</f>
        <v>19.831114285714285</v>
      </c>
      <c r="I25" s="62">
        <f>AVERAGE(I4:I24)</f>
        <v>19.734342857142856</v>
      </c>
      <c r="K25" s="54" t="s">
        <v>6</v>
      </c>
      <c r="L25" s="61">
        <f>AVERAGE(L4:L24)</f>
        <v>22.594323809523807</v>
      </c>
      <c r="M25" s="61">
        <f>AVERAGE(M4:M24)</f>
        <v>22.780571428571431</v>
      </c>
      <c r="N25" s="61">
        <f>AVERAGE(N4:N24)</f>
        <v>22.663638095238099</v>
      </c>
      <c r="P25" s="21" t="s">
        <v>6</v>
      </c>
      <c r="Q25" s="62">
        <f>AVERAGE(Q4:Q24)</f>
        <v>24.770676190476188</v>
      </c>
      <c r="R25" s="51"/>
      <c r="S25" s="51"/>
    </row>
    <row r="26" spans="1:19" s="51" customFormat="1" x14ac:dyDescent="0.25">
      <c r="A26" s="49"/>
      <c r="B26" s="71"/>
      <c r="C26" s="71"/>
      <c r="D26" s="71"/>
      <c r="F26" s="49"/>
      <c r="G26" s="71"/>
      <c r="H26" s="71"/>
      <c r="I26" s="71"/>
      <c r="K26" s="49"/>
      <c r="L26" s="71"/>
      <c r="M26" s="71"/>
      <c r="N26" s="71"/>
      <c r="P26" s="49"/>
      <c r="Q26" s="71"/>
    </row>
    <row r="27" spans="1:19" s="51" customFormat="1" x14ac:dyDescent="0.25">
      <c r="A27" s="45" t="s">
        <v>12</v>
      </c>
      <c r="B27" s="71"/>
      <c r="C27" s="71"/>
      <c r="D27" s="71"/>
      <c r="F27" s="49"/>
      <c r="G27" s="71"/>
      <c r="H27" s="71"/>
      <c r="I27" s="71"/>
      <c r="K27" s="45" t="s">
        <v>12</v>
      </c>
      <c r="L27" s="71"/>
      <c r="M27" s="71"/>
      <c r="N27" s="71"/>
      <c r="P27" s="49"/>
      <c r="Q27" s="71"/>
    </row>
    <row r="28" spans="1:19" s="51" customFormat="1" x14ac:dyDescent="0.25">
      <c r="A28" s="45" t="s">
        <v>13</v>
      </c>
      <c r="B28" s="71"/>
      <c r="C28" s="71"/>
      <c r="D28" s="71"/>
      <c r="F28" s="49"/>
      <c r="G28" s="71"/>
      <c r="H28" s="71"/>
      <c r="I28" s="71"/>
      <c r="K28" s="45" t="s">
        <v>13</v>
      </c>
      <c r="L28" s="71"/>
      <c r="M28" s="71"/>
      <c r="N28" s="71"/>
      <c r="P28" s="49"/>
      <c r="Q28" s="71"/>
    </row>
    <row r="29" spans="1:19" s="51" customFormat="1" x14ac:dyDescent="0.25">
      <c r="A29" s="45" t="s">
        <v>14</v>
      </c>
      <c r="B29" s="71"/>
      <c r="C29" s="71"/>
      <c r="D29" s="71"/>
      <c r="F29" s="49"/>
      <c r="G29" s="71"/>
      <c r="H29" s="71"/>
      <c r="I29" s="71"/>
      <c r="K29" s="45" t="s">
        <v>14</v>
      </c>
      <c r="L29" s="71"/>
      <c r="M29" s="71"/>
      <c r="N29" s="71"/>
      <c r="P29" s="49"/>
      <c r="Q29" s="71"/>
    </row>
    <row r="30" spans="1:19" s="51" customFormat="1" x14ac:dyDescent="0.25">
      <c r="A30" s="49"/>
      <c r="B30" s="71"/>
      <c r="C30" s="71"/>
      <c r="D30" s="71"/>
      <c r="F30" s="49"/>
      <c r="G30" s="71"/>
      <c r="H30" s="71"/>
      <c r="I30" s="71"/>
      <c r="K30" s="49"/>
      <c r="L30" s="71"/>
      <c r="M30" s="71"/>
      <c r="N30" s="71"/>
      <c r="P30" s="49"/>
      <c r="Q30" s="71"/>
    </row>
    <row r="31" spans="1:19" x14ac:dyDescent="0.25">
      <c r="A31" s="50"/>
      <c r="B31" s="50"/>
      <c r="C31" s="50"/>
      <c r="D31" s="50"/>
      <c r="F31" s="51"/>
      <c r="G31" s="51"/>
      <c r="H31" s="51"/>
      <c r="I31" s="51"/>
      <c r="K31" s="51"/>
      <c r="L31" s="51"/>
      <c r="M31" s="51"/>
      <c r="N31" s="51"/>
      <c r="P31" s="51"/>
      <c r="Q31" s="51"/>
      <c r="R31" s="51"/>
      <c r="S31" s="51"/>
    </row>
    <row r="32" spans="1:19" x14ac:dyDescent="0.25">
      <c r="A32" s="50"/>
      <c r="B32" s="50"/>
      <c r="C32" s="50"/>
      <c r="D32" s="50"/>
      <c r="F32" s="51"/>
      <c r="G32" s="51"/>
      <c r="H32" s="51"/>
      <c r="I32" s="51"/>
      <c r="K32" s="51"/>
      <c r="L32" s="51"/>
      <c r="M32" s="51"/>
      <c r="N32" s="51"/>
      <c r="P32" s="51"/>
      <c r="Q32" s="51"/>
      <c r="R32" s="51"/>
      <c r="S32" s="51"/>
    </row>
    <row r="33" spans="1:19" ht="15.75" thickBot="1" x14ac:dyDescent="0.3">
      <c r="A33" s="155" t="s">
        <v>17</v>
      </c>
      <c r="B33" s="155"/>
      <c r="C33" s="155"/>
      <c r="D33" s="155"/>
      <c r="F33" s="155" t="s">
        <v>17</v>
      </c>
      <c r="G33" s="155"/>
      <c r="H33" s="155"/>
      <c r="I33" s="155"/>
      <c r="K33" s="155" t="s">
        <v>17</v>
      </c>
      <c r="L33" s="155"/>
      <c r="M33" s="155"/>
      <c r="N33" s="155"/>
      <c r="P33" s="17" t="s">
        <v>18</v>
      </c>
      <c r="Q33" s="17"/>
      <c r="R33" s="51"/>
      <c r="S33" s="51"/>
    </row>
    <row r="34" spans="1:19" ht="15.75" thickBot="1" x14ac:dyDescent="0.3">
      <c r="A34" s="151" t="s">
        <v>1</v>
      </c>
      <c r="B34" s="156" t="s">
        <v>2</v>
      </c>
      <c r="C34" s="157"/>
      <c r="D34" s="158"/>
      <c r="F34" s="151" t="s">
        <v>1</v>
      </c>
      <c r="G34" s="156" t="s">
        <v>7</v>
      </c>
      <c r="H34" s="157"/>
      <c r="I34" s="158"/>
      <c r="K34" s="151" t="s">
        <v>1</v>
      </c>
      <c r="L34" s="156" t="s">
        <v>8</v>
      </c>
      <c r="M34" s="157"/>
      <c r="N34" s="158"/>
      <c r="P34" s="151" t="s">
        <v>10</v>
      </c>
      <c r="Q34" s="153" t="s">
        <v>11</v>
      </c>
      <c r="R34" s="51"/>
      <c r="S34" s="51"/>
    </row>
    <row r="35" spans="1:19" ht="15.75" customHeight="1" thickBot="1" x14ac:dyDescent="0.3">
      <c r="A35" s="240"/>
      <c r="B35" s="52" t="s">
        <v>3</v>
      </c>
      <c r="C35" s="52" t="s">
        <v>4</v>
      </c>
      <c r="D35" s="52" t="s">
        <v>5</v>
      </c>
      <c r="F35" s="152"/>
      <c r="G35" s="52" t="s">
        <v>3</v>
      </c>
      <c r="H35" s="52" t="s">
        <v>4</v>
      </c>
      <c r="I35" s="52" t="s">
        <v>5</v>
      </c>
      <c r="K35" s="240"/>
      <c r="L35" s="52" t="s">
        <v>3</v>
      </c>
      <c r="M35" s="52" t="s">
        <v>4</v>
      </c>
      <c r="N35" s="52" t="s">
        <v>5</v>
      </c>
      <c r="P35" s="240"/>
      <c r="Q35" s="154"/>
      <c r="R35" s="51"/>
      <c r="S35" s="51"/>
    </row>
    <row r="36" spans="1:19" x14ac:dyDescent="0.25">
      <c r="A36" s="68">
        <v>44896</v>
      </c>
      <c r="B36" s="69">
        <v>18294.599999999999</v>
      </c>
      <c r="C36" s="69">
        <v>18478.5</v>
      </c>
      <c r="D36" s="70">
        <v>18386.600000000002</v>
      </c>
      <c r="F36" s="53">
        <v>44896</v>
      </c>
      <c r="G36" s="69">
        <f>19.0705*1000</f>
        <v>19070.5</v>
      </c>
      <c r="H36" s="65">
        <f>19.2539*1000</f>
        <v>19253.900000000001</v>
      </c>
      <c r="I36" s="65">
        <f>19.1622*1000</f>
        <v>19162.199999999997</v>
      </c>
      <c r="K36" s="68">
        <v>44896</v>
      </c>
      <c r="L36" s="69">
        <f>22.1218*1000</f>
        <v>22121.8</v>
      </c>
      <c r="M36" s="69">
        <f>22.3461*1000</f>
        <v>22346.1</v>
      </c>
      <c r="N36" s="70">
        <f>22.2339*1000</f>
        <v>22233.899999999998</v>
      </c>
      <c r="P36" s="68">
        <v>44896</v>
      </c>
      <c r="Q36" s="70">
        <f>24.177*1000</f>
        <v>24177</v>
      </c>
      <c r="R36" s="51"/>
      <c r="S36" s="51"/>
    </row>
    <row r="37" spans="1:19" x14ac:dyDescent="0.25">
      <c r="A37" s="68">
        <v>44897</v>
      </c>
      <c r="B37" s="64">
        <v>18329.400000000001</v>
      </c>
      <c r="C37" s="64">
        <v>18513.599999999999</v>
      </c>
      <c r="D37" s="64">
        <v>18421.5</v>
      </c>
      <c r="F37" s="53">
        <v>44897</v>
      </c>
      <c r="G37" s="64">
        <f>19.2865*1000</f>
        <v>19286.5</v>
      </c>
      <c r="H37" s="64">
        <f>19.4766*1000</f>
        <v>19476.600000000002</v>
      </c>
      <c r="I37" s="64">
        <f>19.3816*1000</f>
        <v>19381.599999999999</v>
      </c>
      <c r="K37" s="68">
        <v>44897</v>
      </c>
      <c r="L37" s="64">
        <f>22.4572*1000</f>
        <v>22457.200000000001</v>
      </c>
      <c r="M37" s="64">
        <f>22.6903*1000</f>
        <v>22690.3</v>
      </c>
      <c r="N37" s="64">
        <f>22.5737*1000</f>
        <v>22573.699999999997</v>
      </c>
      <c r="P37" s="68">
        <v>44897</v>
      </c>
      <c r="Q37" s="64">
        <f>24.3317*1000</f>
        <v>24331.7</v>
      </c>
      <c r="R37" s="51"/>
      <c r="S37" s="51"/>
    </row>
    <row r="38" spans="1:19" x14ac:dyDescent="0.25">
      <c r="A38" s="68">
        <v>44900</v>
      </c>
      <c r="B38" s="64">
        <v>18327.3</v>
      </c>
      <c r="C38" s="64">
        <v>18511.5</v>
      </c>
      <c r="D38" s="64">
        <v>18419.399999999998</v>
      </c>
      <c r="F38" s="53">
        <v>44900</v>
      </c>
      <c r="G38" s="64">
        <f>19.3275*1000</f>
        <v>19327.5</v>
      </c>
      <c r="H38" s="64">
        <f>19.5149*1000</f>
        <v>19514.900000000001</v>
      </c>
      <c r="I38" s="64">
        <f>19.4212*1000</f>
        <v>19421.199999999997</v>
      </c>
      <c r="K38" s="68">
        <v>44900</v>
      </c>
      <c r="L38" s="64">
        <f>22.5243*1000</f>
        <v>22524.3</v>
      </c>
      <c r="M38" s="64">
        <f>22.7543*1000</f>
        <v>22754.3</v>
      </c>
      <c r="N38" s="64">
        <f>22.6393*1000</f>
        <v>22639.3</v>
      </c>
      <c r="P38" s="68">
        <v>44900</v>
      </c>
      <c r="Q38" s="64">
        <f>24.4679*1000</f>
        <v>24467.9</v>
      </c>
      <c r="R38" s="51"/>
      <c r="S38" s="51"/>
    </row>
    <row r="39" spans="1:19" x14ac:dyDescent="0.25">
      <c r="A39" s="68">
        <v>44901</v>
      </c>
      <c r="B39" s="64">
        <v>18403.5</v>
      </c>
      <c r="C39" s="64">
        <v>18588.400000000001</v>
      </c>
      <c r="D39" s="64">
        <v>18496</v>
      </c>
      <c r="F39" s="53">
        <v>44901</v>
      </c>
      <c r="G39" s="64">
        <f>19.3069*1000</f>
        <v>19306.899999999998</v>
      </c>
      <c r="H39" s="64">
        <f>19.4924*1000</f>
        <v>19492.400000000001</v>
      </c>
      <c r="I39" s="64">
        <f>19.3997*1000</f>
        <v>19399.7</v>
      </c>
      <c r="K39" s="68">
        <v>44901</v>
      </c>
      <c r="L39" s="64">
        <f>22.4578*1000</f>
        <v>22457.8</v>
      </c>
      <c r="M39" s="64">
        <f>22.6853*1000</f>
        <v>22685.300000000003</v>
      </c>
      <c r="N39" s="64">
        <f>22.5715*1000</f>
        <v>22571.5</v>
      </c>
      <c r="P39" s="68">
        <v>44901</v>
      </c>
      <c r="Q39" s="64">
        <f>24.6023*1000</f>
        <v>24602.3</v>
      </c>
      <c r="R39" s="51"/>
      <c r="S39" s="51"/>
    </row>
    <row r="40" spans="1:19" x14ac:dyDescent="0.25">
      <c r="A40" s="68">
        <v>44902</v>
      </c>
      <c r="B40" s="64">
        <v>18363.7</v>
      </c>
      <c r="C40" s="64">
        <v>18548.300000000003</v>
      </c>
      <c r="D40" s="64">
        <v>18456</v>
      </c>
      <c r="F40" s="53">
        <v>44902</v>
      </c>
      <c r="G40" s="64">
        <f>19.2124*1000</f>
        <v>19212.399999999998</v>
      </c>
      <c r="H40" s="64">
        <f>19.4019*1000</f>
        <v>19401.900000000001</v>
      </c>
      <c r="I40" s="64">
        <f>19.3072*1000</f>
        <v>19307.2</v>
      </c>
      <c r="K40" s="68">
        <v>44902</v>
      </c>
      <c r="L40" s="64">
        <f>22.2807*1000</f>
        <v>22280.7</v>
      </c>
      <c r="M40" s="64">
        <f>22.5121*1000</f>
        <v>22512.1</v>
      </c>
      <c r="N40" s="64">
        <f>22.3964*1000</f>
        <v>22396.400000000001</v>
      </c>
      <c r="P40" s="68">
        <v>44902</v>
      </c>
      <c r="Q40" s="64">
        <f>24.4742*1000</f>
        <v>24474.2</v>
      </c>
      <c r="R40" s="51"/>
      <c r="S40" s="51"/>
    </row>
    <row r="41" spans="1:19" x14ac:dyDescent="0.25">
      <c r="A41" s="68">
        <v>44903</v>
      </c>
      <c r="B41" s="64">
        <v>18437.8</v>
      </c>
      <c r="C41" s="64">
        <v>18623.100000000002</v>
      </c>
      <c r="D41" s="64">
        <v>18530.400000000001</v>
      </c>
      <c r="F41" s="53">
        <v>44903</v>
      </c>
      <c r="G41" s="64">
        <f>19.4106*1000</f>
        <v>19410.599999999999</v>
      </c>
      <c r="H41" s="64">
        <f>19.6035*1000</f>
        <v>19603.5</v>
      </c>
      <c r="I41" s="64">
        <f>19.507*1000</f>
        <v>19507</v>
      </c>
      <c r="K41" s="68">
        <v>44903</v>
      </c>
      <c r="L41" s="64">
        <f>22.5162*1000</f>
        <v>22516.2</v>
      </c>
      <c r="M41" s="64">
        <f>22.7518*1000</f>
        <v>22751.8</v>
      </c>
      <c r="N41" s="64">
        <f>22.634*1000</f>
        <v>22634</v>
      </c>
      <c r="P41" s="68">
        <v>44903</v>
      </c>
      <c r="Q41" s="64">
        <f>24.5306*1000</f>
        <v>24530.6</v>
      </c>
      <c r="R41" s="51"/>
      <c r="S41" s="51"/>
    </row>
    <row r="42" spans="1:19" x14ac:dyDescent="0.25">
      <c r="A42" s="68">
        <v>44904</v>
      </c>
      <c r="B42" s="64">
        <v>18425.599999999999</v>
      </c>
      <c r="C42" s="64">
        <v>18610.800000000003</v>
      </c>
      <c r="D42" s="64">
        <v>18518.2</v>
      </c>
      <c r="F42" s="53">
        <v>44904</v>
      </c>
      <c r="G42" s="64">
        <f>19.4856*1000</f>
        <v>19485.600000000002</v>
      </c>
      <c r="H42" s="64">
        <f>19.6778*1000</f>
        <v>19677.800000000003</v>
      </c>
      <c r="I42" s="64">
        <f>19.5817*1000</f>
        <v>19581.7</v>
      </c>
      <c r="K42" s="68">
        <v>44904</v>
      </c>
      <c r="L42" s="64">
        <f>22.5916*1000</f>
        <v>22591.599999999999</v>
      </c>
      <c r="M42" s="64">
        <f>22.8243*1000</f>
        <v>22824.3</v>
      </c>
      <c r="N42" s="64">
        <f>22.708*1000</f>
        <v>22708</v>
      </c>
      <c r="P42" s="68">
        <v>44904</v>
      </c>
      <c r="Q42" s="64">
        <f>24.5437*1000</f>
        <v>24543.7</v>
      </c>
      <c r="R42" s="51"/>
      <c r="S42" s="51"/>
    </row>
    <row r="43" spans="1:19" x14ac:dyDescent="0.25">
      <c r="A43" s="68">
        <v>44907</v>
      </c>
      <c r="B43" s="64">
        <v>18388.5</v>
      </c>
      <c r="C43" s="64">
        <v>18573.3</v>
      </c>
      <c r="D43" s="64">
        <v>18480.899999999998</v>
      </c>
      <c r="F43" s="53">
        <v>44907</v>
      </c>
      <c r="G43" s="64">
        <f>19.3603*1000</f>
        <v>19360.3</v>
      </c>
      <c r="H43" s="64">
        <f>19.5576*1000</f>
        <v>19557.600000000002</v>
      </c>
      <c r="I43" s="64">
        <f>19.4589*1000</f>
        <v>19458.900000000001</v>
      </c>
      <c r="K43" s="68">
        <v>44907</v>
      </c>
      <c r="L43" s="64">
        <f>22.4928*1000</f>
        <v>22492.799999999999</v>
      </c>
      <c r="M43" s="64">
        <f>22.7337*1000</f>
        <v>22733.699999999997</v>
      </c>
      <c r="N43" s="64">
        <f>22.6133*1000</f>
        <v>22613.3</v>
      </c>
      <c r="P43" s="68">
        <v>44907</v>
      </c>
      <c r="Q43" s="64">
        <f>24.5593*1000</f>
        <v>24559.3</v>
      </c>
      <c r="R43" s="51"/>
      <c r="S43" s="51"/>
    </row>
    <row r="44" spans="1:19" x14ac:dyDescent="0.25">
      <c r="A44" s="68">
        <v>44908</v>
      </c>
      <c r="B44" s="64">
        <v>18541</v>
      </c>
      <c r="C44" s="64">
        <v>18727.399999999998</v>
      </c>
      <c r="D44" s="64">
        <v>18634.2</v>
      </c>
      <c r="F44" s="53">
        <v>44908</v>
      </c>
      <c r="G44" s="64">
        <f>19.5679*1000</f>
        <v>19567.900000000001</v>
      </c>
      <c r="H44" s="64">
        <f>19.7608*1000</f>
        <v>19760.8</v>
      </c>
      <c r="I44" s="64">
        <f>19.6644*1000</f>
        <v>19664.400000000001</v>
      </c>
      <c r="K44" s="68">
        <v>44908</v>
      </c>
      <c r="L44" s="64">
        <f>22.7535*1000</f>
        <v>22753.5</v>
      </c>
      <c r="M44" s="64">
        <f>22.9898*1000</f>
        <v>22989.8</v>
      </c>
      <c r="N44" s="64">
        <f>22.8716*1000</f>
        <v>22871.600000000002</v>
      </c>
      <c r="P44" s="68">
        <v>44908</v>
      </c>
      <c r="Q44" s="64">
        <f>24.7631*1000</f>
        <v>24763.100000000002</v>
      </c>
      <c r="R44" s="51"/>
      <c r="S44" s="51"/>
    </row>
    <row r="45" spans="1:19" x14ac:dyDescent="0.25">
      <c r="A45" s="68">
        <v>44909</v>
      </c>
      <c r="B45" s="64">
        <v>18611.400000000001</v>
      </c>
      <c r="C45" s="64">
        <v>18798.400000000001</v>
      </c>
      <c r="D45" s="64">
        <v>18704.899999999998</v>
      </c>
      <c r="F45" s="53">
        <v>44909</v>
      </c>
      <c r="G45" s="64">
        <f>19.7766*1000</f>
        <v>19776.599999999999</v>
      </c>
      <c r="H45" s="64">
        <f>19.9731*1000</f>
        <v>19973.099999999999</v>
      </c>
      <c r="I45" s="64">
        <f>19.8749*1000</f>
        <v>19874.900000000001</v>
      </c>
      <c r="K45" s="68">
        <v>44909</v>
      </c>
      <c r="L45" s="64">
        <f>22.9962*1000</f>
        <v>22996.2</v>
      </c>
      <c r="M45" s="64">
        <f>23.2367*1000</f>
        <v>23236.7</v>
      </c>
      <c r="N45" s="64">
        <f>23.1165*1000</f>
        <v>23116.5</v>
      </c>
      <c r="P45" s="68">
        <v>44909</v>
      </c>
      <c r="Q45" s="64">
        <f>24.8109*1000</f>
        <v>24810.9</v>
      </c>
      <c r="R45" s="51"/>
      <c r="S45" s="51"/>
    </row>
    <row r="46" spans="1:19" x14ac:dyDescent="0.25">
      <c r="A46" s="68">
        <v>44910</v>
      </c>
      <c r="B46" s="64">
        <v>18574.899999999998</v>
      </c>
      <c r="C46" s="64">
        <v>18761.600000000002</v>
      </c>
      <c r="D46" s="64">
        <v>18668.3</v>
      </c>
      <c r="F46" s="53">
        <v>44910</v>
      </c>
      <c r="G46" s="64">
        <f>19.7702*1000</f>
        <v>19770.2</v>
      </c>
      <c r="H46" s="64">
        <f>19.9619*1000</f>
        <v>19961.900000000001</v>
      </c>
      <c r="I46" s="64">
        <f>19.8661*1000</f>
        <v>19866.099999999999</v>
      </c>
      <c r="K46" s="68">
        <v>44910</v>
      </c>
      <c r="L46" s="64">
        <f>22.9809*1000</f>
        <v>22980.899999999998</v>
      </c>
      <c r="M46" s="64">
        <f>22.2137*1000</f>
        <v>22213.7</v>
      </c>
      <c r="N46" s="64">
        <f>22.0973*1000</f>
        <v>22097.3</v>
      </c>
      <c r="P46" s="68">
        <v>44910</v>
      </c>
      <c r="Q46" s="64">
        <f>24.901*1000</f>
        <v>24901</v>
      </c>
      <c r="R46" s="51"/>
      <c r="S46" s="51"/>
    </row>
    <row r="47" spans="1:19" x14ac:dyDescent="0.25">
      <c r="A47" s="68">
        <v>44911</v>
      </c>
      <c r="B47" s="64">
        <v>18600.599999999999</v>
      </c>
      <c r="C47" s="64">
        <v>18787.5</v>
      </c>
      <c r="D47" s="64">
        <v>18694.099999999999</v>
      </c>
      <c r="F47" s="53">
        <v>44911</v>
      </c>
      <c r="G47" s="64">
        <f>19.7928*1000</f>
        <v>19792.8</v>
      </c>
      <c r="H47" s="64">
        <f>19.9877*1000</f>
        <v>19987.7</v>
      </c>
      <c r="I47" s="64">
        <f>19.8903*1000</f>
        <v>19890.3</v>
      </c>
      <c r="K47" s="68">
        <v>44911</v>
      </c>
      <c r="L47" s="64">
        <f>22.6667*1000</f>
        <v>22666.699999999997</v>
      </c>
      <c r="M47" s="64">
        <f>22.902*1000</f>
        <v>22902</v>
      </c>
      <c r="N47" s="64">
        <f>22.7843*1000</f>
        <v>22784.300000000003</v>
      </c>
      <c r="P47" s="68">
        <v>44911</v>
      </c>
      <c r="Q47" s="64">
        <f>24.879*1000</f>
        <v>24879</v>
      </c>
      <c r="R47" s="51"/>
      <c r="S47" s="51"/>
    </row>
    <row r="48" spans="1:19" x14ac:dyDescent="0.25">
      <c r="A48" s="68">
        <v>44914</v>
      </c>
      <c r="B48" s="64">
        <v>18632.400000000001</v>
      </c>
      <c r="C48" s="64">
        <v>18819.600000000002</v>
      </c>
      <c r="D48" s="64">
        <v>18726</v>
      </c>
      <c r="F48" s="53">
        <v>44914</v>
      </c>
      <c r="G48" s="64">
        <f>19.8148*1000</f>
        <v>19814.800000000003</v>
      </c>
      <c r="H48" s="64">
        <f>20.0165*1000</f>
        <v>20016.5</v>
      </c>
      <c r="I48" s="64">
        <f>19.9157*1000</f>
        <v>19915.7</v>
      </c>
      <c r="K48" s="68">
        <v>44914</v>
      </c>
      <c r="L48" s="64">
        <f>22.7315*1000</f>
        <v>22731.5</v>
      </c>
      <c r="M48" s="64">
        <f>22.975*1000</f>
        <v>22975</v>
      </c>
      <c r="N48" s="64">
        <f>22.8532*1000</f>
        <v>22853.200000000001</v>
      </c>
      <c r="P48" s="68">
        <v>44914</v>
      </c>
      <c r="Q48" s="64">
        <f>24.9049*1000</f>
        <v>24904.9</v>
      </c>
      <c r="R48" s="51"/>
      <c r="S48" s="51"/>
    </row>
    <row r="49" spans="1:19" x14ac:dyDescent="0.25">
      <c r="A49" s="68">
        <v>44915</v>
      </c>
      <c r="B49" s="64">
        <v>18634.2</v>
      </c>
      <c r="C49" s="64">
        <v>18821.5</v>
      </c>
      <c r="D49" s="64">
        <v>18727.900000000001</v>
      </c>
      <c r="F49" s="53">
        <v>44915</v>
      </c>
      <c r="G49" s="64">
        <f>19.7663*1000</f>
        <v>19766.300000000003</v>
      </c>
      <c r="H49" s="64">
        <f>19.9645*1000</f>
        <v>19964.5</v>
      </c>
      <c r="I49" s="64">
        <f>19.8654*1000</f>
        <v>19865.400000000001</v>
      </c>
      <c r="K49" s="68">
        <v>44915</v>
      </c>
      <c r="L49" s="64">
        <f>22.6443*1000</f>
        <v>22644.300000000003</v>
      </c>
      <c r="M49" s="64">
        <f>22.8813*1000</f>
        <v>22881.3</v>
      </c>
      <c r="N49" s="64">
        <f>22.7628*1000</f>
        <v>22762.799999999999</v>
      </c>
      <c r="P49" s="68">
        <v>44915</v>
      </c>
      <c r="Q49" s="64">
        <f>24.8975*1000</f>
        <v>24897.5</v>
      </c>
      <c r="R49" s="51"/>
      <c r="S49" s="51"/>
    </row>
    <row r="50" spans="1:19" x14ac:dyDescent="0.25">
      <c r="A50" s="68">
        <v>44916</v>
      </c>
      <c r="B50" s="64">
        <v>18721.800000000003</v>
      </c>
      <c r="C50" s="64">
        <v>18910</v>
      </c>
      <c r="D50" s="64">
        <v>18815.899999999998</v>
      </c>
      <c r="F50" s="53">
        <v>44916</v>
      </c>
      <c r="G50" s="64">
        <f>19.8976*1000</f>
        <v>19897.600000000002</v>
      </c>
      <c r="H50" s="64">
        <f>20.0937*1000</f>
        <v>20093.699999999997</v>
      </c>
      <c r="I50" s="64">
        <f>19.9957*1000</f>
        <v>19995.7</v>
      </c>
      <c r="K50" s="68">
        <v>44916</v>
      </c>
      <c r="L50" s="64">
        <f>22.747*1000</f>
        <v>22747</v>
      </c>
      <c r="M50" s="64">
        <f>22.9832*1000</f>
        <v>22983.200000000001</v>
      </c>
      <c r="N50" s="64">
        <f>22.8651*1000</f>
        <v>22865.100000000002</v>
      </c>
      <c r="P50" s="68">
        <v>44916</v>
      </c>
      <c r="Q50" s="64">
        <f>25.0912*1000</f>
        <v>25091.200000000001</v>
      </c>
      <c r="R50" s="51"/>
      <c r="S50" s="51"/>
    </row>
    <row r="51" spans="1:19" x14ac:dyDescent="0.25">
      <c r="A51" s="68">
        <v>44917</v>
      </c>
      <c r="B51" s="64">
        <v>18706.800000000003</v>
      </c>
      <c r="C51" s="64">
        <v>18894.8</v>
      </c>
      <c r="D51" s="64">
        <v>18800.8</v>
      </c>
      <c r="F51" s="53">
        <v>44917</v>
      </c>
      <c r="G51" s="64">
        <f>19.9101*1000</f>
        <v>19910.099999999999</v>
      </c>
      <c r="H51" s="64">
        <f>20.108*1000</f>
        <v>20108</v>
      </c>
      <c r="I51" s="64">
        <f>20.0091*1000</f>
        <v>20009.099999999999</v>
      </c>
      <c r="K51" s="68">
        <v>44917</v>
      </c>
      <c r="L51" s="64">
        <f>22.6876*1000</f>
        <v>22687.599999999999</v>
      </c>
      <c r="M51" s="64">
        <f>22.9232*1000</f>
        <v>22923.200000000001</v>
      </c>
      <c r="N51" s="64">
        <f>22.8054*1000</f>
        <v>22805.399999999998</v>
      </c>
      <c r="P51" s="68">
        <v>44917</v>
      </c>
      <c r="Q51" s="64">
        <f>25.0444*1000</f>
        <v>25044.399999999998</v>
      </c>
      <c r="R51" s="51"/>
      <c r="S51" s="51"/>
    </row>
    <row r="52" spans="1:19" x14ac:dyDescent="0.25">
      <c r="A52" s="68">
        <v>44918</v>
      </c>
      <c r="B52" s="64">
        <v>18753.099999999999</v>
      </c>
      <c r="C52" s="64">
        <v>18941.600000000002</v>
      </c>
      <c r="D52" s="64">
        <v>18847.400000000001</v>
      </c>
      <c r="F52" s="53">
        <v>44918</v>
      </c>
      <c r="G52" s="64">
        <f>19.9135*1000</f>
        <v>19913.5</v>
      </c>
      <c r="H52" s="64">
        <f>20.1065*1000</f>
        <v>20106.5</v>
      </c>
      <c r="I52" s="64">
        <f>20.01*1000</f>
        <v>20010</v>
      </c>
      <c r="K52" s="68">
        <v>44918</v>
      </c>
      <c r="L52" s="64">
        <f>22.6237*1000</f>
        <v>22623.7</v>
      </c>
      <c r="M52" s="64">
        <f>22.853*1000</f>
        <v>22853</v>
      </c>
      <c r="N52" s="64">
        <f>22.7384*1000</f>
        <v>22738.399999999998</v>
      </c>
      <c r="P52" s="68">
        <v>44918</v>
      </c>
      <c r="Q52" s="64">
        <f>25.0931*1000</f>
        <v>25093.1</v>
      </c>
      <c r="R52" s="51"/>
      <c r="S52" s="51"/>
    </row>
    <row r="53" spans="1:19" x14ac:dyDescent="0.25">
      <c r="A53" s="68">
        <v>44922</v>
      </c>
      <c r="B53" s="64">
        <v>18578.399999999998</v>
      </c>
      <c r="C53" s="64">
        <v>18765.099999999999</v>
      </c>
      <c r="D53" s="64">
        <v>18671.7</v>
      </c>
      <c r="F53" s="53">
        <v>44922</v>
      </c>
      <c r="G53" s="64">
        <f>19.7926*1000</f>
        <v>19792.599999999999</v>
      </c>
      <c r="H53" s="64">
        <f>19.9893*1000</f>
        <v>19989.3</v>
      </c>
      <c r="I53" s="64">
        <f>19.8909*1000</f>
        <v>19890.899999999998</v>
      </c>
      <c r="K53" s="68">
        <v>44922</v>
      </c>
      <c r="L53" s="64">
        <f>22.4111*1000</f>
        <v>22411.100000000002</v>
      </c>
      <c r="M53" s="64">
        <f>22.6438*1000</f>
        <v>22643.8</v>
      </c>
      <c r="N53" s="64">
        <f>22.5275*1000</f>
        <v>22527.5</v>
      </c>
      <c r="P53" s="68">
        <v>44922</v>
      </c>
      <c r="Q53" s="64">
        <f>24.8492*1000</f>
        <v>24849.200000000001</v>
      </c>
      <c r="R53" s="51"/>
      <c r="S53" s="51"/>
    </row>
    <row r="54" spans="1:19" x14ac:dyDescent="0.25">
      <c r="A54" s="68">
        <v>44923</v>
      </c>
      <c r="B54" s="64">
        <v>18720.600000000002</v>
      </c>
      <c r="C54" s="64">
        <v>18908.7</v>
      </c>
      <c r="D54" s="64">
        <v>18814.699999999997</v>
      </c>
      <c r="F54" s="53">
        <v>44923</v>
      </c>
      <c r="G54" s="64">
        <f>19.9304*1000</f>
        <v>19930.399999999998</v>
      </c>
      <c r="H54" s="64">
        <f>20.1284*1000</f>
        <v>20128.399999999998</v>
      </c>
      <c r="I54" s="64">
        <f>20.0294*1000</f>
        <v>20029.399999999998</v>
      </c>
      <c r="K54" s="68">
        <v>44923</v>
      </c>
      <c r="L54" s="64">
        <f>22.5452*1000</f>
        <v>22545.200000000001</v>
      </c>
      <c r="M54" s="64">
        <f>22.7793*1000</f>
        <v>22779.3</v>
      </c>
      <c r="N54" s="64">
        <f>22.6623*1000</f>
        <v>22662.3</v>
      </c>
      <c r="P54" s="68">
        <v>44923</v>
      </c>
      <c r="Q54" s="64">
        <f>25.0395*1000</f>
        <v>25039.5</v>
      </c>
      <c r="R54" s="51"/>
      <c r="S54" s="51"/>
    </row>
    <row r="55" spans="1:19" x14ac:dyDescent="0.25">
      <c r="A55" s="68">
        <v>44924</v>
      </c>
      <c r="B55" s="64">
        <v>18808.599999999999</v>
      </c>
      <c r="C55" s="64">
        <v>18997.599999999999</v>
      </c>
      <c r="D55" s="64">
        <v>18903.099999999999</v>
      </c>
      <c r="F55" s="53">
        <v>44924</v>
      </c>
      <c r="G55" s="64">
        <f>20.007*1000</f>
        <v>20007</v>
      </c>
      <c r="H55" s="64">
        <f>20.2025*1000</f>
        <v>20202.5</v>
      </c>
      <c r="I55" s="64">
        <f>20.1047*1000</f>
        <v>20104.7</v>
      </c>
      <c r="K55" s="68">
        <v>44924</v>
      </c>
      <c r="L55" s="64">
        <f>22.6399*1000</f>
        <v>22639.9</v>
      </c>
      <c r="M55" s="64">
        <f>22.8712*1000</f>
        <v>22871.200000000001</v>
      </c>
      <c r="N55" s="64">
        <f>22.7556*1000</f>
        <v>22755.600000000002</v>
      </c>
      <c r="P55" s="68">
        <v>44924</v>
      </c>
      <c r="Q55" s="64">
        <f>25.1572*1000</f>
        <v>25157.200000000001</v>
      </c>
      <c r="R55" s="51"/>
      <c r="S55" s="51"/>
    </row>
    <row r="56" spans="1:19" ht="15.75" thickBot="1" x14ac:dyDescent="0.3">
      <c r="A56" s="68">
        <v>44925</v>
      </c>
      <c r="B56" s="67">
        <v>18740.8</v>
      </c>
      <c r="C56" s="67">
        <v>18929.2</v>
      </c>
      <c r="D56" s="67">
        <v>18835</v>
      </c>
      <c r="F56" s="53">
        <v>44925</v>
      </c>
      <c r="G56" s="67">
        <f>19.9883*1000</f>
        <v>19988.3</v>
      </c>
      <c r="H56" s="64">
        <f>20.1819*1000</f>
        <v>20181.899999999998</v>
      </c>
      <c r="I56" s="64">
        <f>20.0851*1000</f>
        <v>20085.100000000002</v>
      </c>
      <c r="K56" s="48">
        <v>44925</v>
      </c>
      <c r="L56" s="67">
        <f>22.6108*1000</f>
        <v>22610.800000000003</v>
      </c>
      <c r="M56" s="67">
        <f>22.8419*1000</f>
        <v>22841.899999999998</v>
      </c>
      <c r="N56" s="67">
        <f>22.7263*1000</f>
        <v>22726.3</v>
      </c>
      <c r="P56" s="68">
        <v>44925</v>
      </c>
      <c r="Q56" s="67">
        <f>25.0665*1000</f>
        <v>25066.5</v>
      </c>
      <c r="R56" s="51"/>
      <c r="S56" s="51"/>
    </row>
    <row r="57" spans="1:19" ht="15.75" thickBot="1" x14ac:dyDescent="0.3">
      <c r="A57" s="54" t="s">
        <v>6</v>
      </c>
      <c r="B57" s="66">
        <v>18552.142857142855</v>
      </c>
      <c r="C57" s="66">
        <v>18738.595238095237</v>
      </c>
      <c r="D57" s="63">
        <v>18645.380952380954</v>
      </c>
      <c r="F57" s="54" t="s">
        <v>6</v>
      </c>
      <c r="G57" s="66">
        <f>AVERAGE(G36:G56)</f>
        <v>19637.542857142853</v>
      </c>
      <c r="H57" s="66">
        <f>AVERAGE(H36:H56)</f>
        <v>19831.114285714288</v>
      </c>
      <c r="I57" s="66">
        <f>AVERAGE(I36:I56)</f>
        <v>19734.342857142859</v>
      </c>
      <c r="K57" s="21" t="s">
        <v>6</v>
      </c>
      <c r="L57" s="66">
        <f>AVERAGE(L36:L56)</f>
        <v>22594.323809523808</v>
      </c>
      <c r="M57" s="66">
        <f>AVERAGE(M36:M56)</f>
        <v>22780.571428571428</v>
      </c>
      <c r="N57" s="63">
        <f>AVERAGE(N36:N56)</f>
        <v>22663.638095238093</v>
      </c>
      <c r="P57" s="21" t="s">
        <v>6</v>
      </c>
      <c r="Q57" s="66">
        <f>AVERAGE(Q36:Q56)</f>
        <v>24770.676190476195</v>
      </c>
      <c r="R57" s="51"/>
      <c r="S57" s="51"/>
    </row>
    <row r="58" spans="1:19" x14ac:dyDescent="0.25">
      <c r="R58" s="51"/>
      <c r="S58" s="51"/>
    </row>
    <row r="59" spans="1:19" x14ac:dyDescent="0.25">
      <c r="A59" s="45" t="s">
        <v>12</v>
      </c>
      <c r="K59" s="45" t="s">
        <v>12</v>
      </c>
    </row>
    <row r="60" spans="1:19" x14ac:dyDescent="0.25">
      <c r="A60" s="45" t="s">
        <v>13</v>
      </c>
      <c r="K60" s="45" t="s">
        <v>13</v>
      </c>
    </row>
    <row r="61" spans="1:19" x14ac:dyDescent="0.25">
      <c r="A61" s="45" t="s">
        <v>14</v>
      </c>
      <c r="K61" s="45" t="s">
        <v>14</v>
      </c>
    </row>
  </sheetData>
  <mergeCells count="22">
    <mergeCell ref="P2:P3"/>
    <mergeCell ref="Q2:Q3"/>
    <mergeCell ref="P34:P35"/>
    <mergeCell ref="Q34:Q35"/>
    <mergeCell ref="K1:N1"/>
    <mergeCell ref="K2:K3"/>
    <mergeCell ref="L2:N2"/>
    <mergeCell ref="K33:N33"/>
    <mergeCell ref="K34:K35"/>
    <mergeCell ref="L34:N34"/>
    <mergeCell ref="F1:I1"/>
    <mergeCell ref="F2:F3"/>
    <mergeCell ref="G2:I2"/>
    <mergeCell ref="F33:I33"/>
    <mergeCell ref="F34:F35"/>
    <mergeCell ref="G34:I34"/>
    <mergeCell ref="A1:D1"/>
    <mergeCell ref="A2:A3"/>
    <mergeCell ref="B2:D2"/>
    <mergeCell ref="A33:D33"/>
    <mergeCell ref="A34:A35"/>
    <mergeCell ref="B34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topLeftCell="D19" workbookViewId="0">
      <selection activeCell="K26" sqref="K26:K28"/>
    </sheetView>
  </sheetViews>
  <sheetFormatPr defaultRowHeight="15" x14ac:dyDescent="0.25"/>
  <cols>
    <col min="1" max="1" width="13.28515625" customWidth="1"/>
    <col min="2" max="2" width="11.42578125" customWidth="1"/>
    <col min="3" max="4" width="11.5703125" customWidth="1"/>
    <col min="5" max="5" width="8.7109375" customWidth="1"/>
    <col min="6" max="6" width="13.7109375" customWidth="1"/>
    <col min="7" max="7" width="11.5703125" customWidth="1"/>
    <col min="8" max="8" width="12" customWidth="1"/>
    <col min="9" max="9" width="11.5703125" customWidth="1"/>
    <col min="11" max="11" width="15" customWidth="1"/>
    <col min="12" max="14" width="14.42578125" customWidth="1"/>
    <col min="16" max="16" width="14.7109375" customWidth="1"/>
    <col min="17" max="17" width="15" customWidth="1"/>
  </cols>
  <sheetData>
    <row r="1" spans="1:17" s="51" customFormat="1" ht="15.75" thickBot="1" x14ac:dyDescent="0.3">
      <c r="A1" s="155" t="s">
        <v>37</v>
      </c>
      <c r="B1" s="155"/>
      <c r="C1" s="155"/>
      <c r="D1" s="155"/>
      <c r="F1" s="155" t="s">
        <v>37</v>
      </c>
      <c r="G1" s="155"/>
      <c r="H1" s="155"/>
      <c r="I1" s="155"/>
      <c r="K1" s="155" t="s">
        <v>37</v>
      </c>
      <c r="L1" s="155"/>
      <c r="M1" s="155"/>
      <c r="N1" s="155"/>
      <c r="P1" s="47" t="s">
        <v>38</v>
      </c>
      <c r="Q1" s="17"/>
    </row>
    <row r="2" spans="1:17" x14ac:dyDescent="0.25">
      <c r="A2" s="171" t="s">
        <v>24</v>
      </c>
      <c r="B2" s="173" t="s">
        <v>25</v>
      </c>
      <c r="C2" s="174"/>
      <c r="D2" s="175"/>
      <c r="E2" s="176"/>
      <c r="F2" s="171" t="s">
        <v>24</v>
      </c>
      <c r="G2" s="173" t="s">
        <v>26</v>
      </c>
      <c r="H2" s="174"/>
      <c r="I2" s="175"/>
      <c r="K2" s="159" t="s">
        <v>24</v>
      </c>
      <c r="L2" s="161" t="s">
        <v>33</v>
      </c>
      <c r="M2" s="162"/>
      <c r="N2" s="163"/>
      <c r="P2" s="167" t="s">
        <v>34</v>
      </c>
      <c r="Q2" s="169" t="s">
        <v>35</v>
      </c>
    </row>
    <row r="3" spans="1:17" x14ac:dyDescent="0.25">
      <c r="A3" s="172"/>
      <c r="B3" s="88" t="s">
        <v>27</v>
      </c>
      <c r="C3" s="88" t="s">
        <v>28</v>
      </c>
      <c r="D3" s="88" t="s">
        <v>29</v>
      </c>
      <c r="E3" s="176"/>
      <c r="F3" s="172"/>
      <c r="G3" s="88" t="s">
        <v>27</v>
      </c>
      <c r="H3" s="88" t="s">
        <v>28</v>
      </c>
      <c r="I3" s="88" t="s">
        <v>29</v>
      </c>
      <c r="K3" s="160"/>
      <c r="L3" s="88" t="s">
        <v>27</v>
      </c>
      <c r="M3" s="88" t="s">
        <v>28</v>
      </c>
      <c r="N3" s="98" t="s">
        <v>29</v>
      </c>
      <c r="P3" s="168"/>
      <c r="Q3" s="170"/>
    </row>
    <row r="4" spans="1:17" ht="15.75" x14ac:dyDescent="0.25">
      <c r="A4" s="89">
        <v>44593</v>
      </c>
      <c r="B4" s="90">
        <v>11349.93</v>
      </c>
      <c r="C4" s="90">
        <v>11579.23</v>
      </c>
      <c r="D4" s="90">
        <v>11464.58</v>
      </c>
      <c r="E4" s="176"/>
      <c r="F4" s="91">
        <v>44593</v>
      </c>
      <c r="G4" s="90">
        <v>12750.06</v>
      </c>
      <c r="H4" s="90">
        <v>13006.08</v>
      </c>
      <c r="I4" s="90">
        <v>12878.07</v>
      </c>
      <c r="K4" s="89">
        <v>44593</v>
      </c>
      <c r="L4" s="90">
        <v>15255.44</v>
      </c>
      <c r="M4" s="90">
        <v>15568.27</v>
      </c>
      <c r="N4" s="99">
        <v>15411.86</v>
      </c>
      <c r="P4" s="89">
        <v>44593</v>
      </c>
      <c r="Q4" s="99">
        <v>15956.27</v>
      </c>
    </row>
    <row r="5" spans="1:17" ht="15.75" x14ac:dyDescent="0.25">
      <c r="A5" s="89">
        <v>44594</v>
      </c>
      <c r="B5" s="90">
        <v>11349.93</v>
      </c>
      <c r="C5" s="90">
        <v>11579.23</v>
      </c>
      <c r="D5" s="90">
        <v>11464.58</v>
      </c>
      <c r="E5" s="176"/>
      <c r="F5" s="91">
        <v>44594</v>
      </c>
      <c r="G5" s="90">
        <v>12787.71</v>
      </c>
      <c r="H5" s="90">
        <v>13045.57</v>
      </c>
      <c r="I5" s="90">
        <v>12916.64</v>
      </c>
      <c r="K5" s="89">
        <v>44594</v>
      </c>
      <c r="L5" s="90">
        <v>15343.97</v>
      </c>
      <c r="M5" s="90">
        <v>15658.59</v>
      </c>
      <c r="N5" s="99">
        <v>15501.28</v>
      </c>
      <c r="P5" s="89">
        <v>44594</v>
      </c>
      <c r="Q5" s="99">
        <v>16027.65</v>
      </c>
    </row>
    <row r="6" spans="1:17" ht="15.75" x14ac:dyDescent="0.25">
      <c r="A6" s="89">
        <v>44595</v>
      </c>
      <c r="B6" s="90">
        <v>11303.57</v>
      </c>
      <c r="C6" s="90">
        <v>11531.93</v>
      </c>
      <c r="D6" s="90">
        <v>11417.75</v>
      </c>
      <c r="E6" s="176"/>
      <c r="F6" s="91">
        <v>44595</v>
      </c>
      <c r="G6" s="90">
        <v>12769.27</v>
      </c>
      <c r="H6" s="90">
        <v>13022.77</v>
      </c>
      <c r="I6" s="90">
        <v>12896.02</v>
      </c>
      <c r="K6" s="89">
        <v>44595</v>
      </c>
      <c r="L6" s="90">
        <v>15323.12</v>
      </c>
      <c r="M6" s="90">
        <v>15633.84</v>
      </c>
      <c r="N6" s="99">
        <v>15478.48</v>
      </c>
      <c r="P6" s="89">
        <v>44595</v>
      </c>
      <c r="Q6" s="99">
        <v>15993.49</v>
      </c>
    </row>
    <row r="7" spans="1:17" ht="15.75" x14ac:dyDescent="0.25">
      <c r="A7" s="89">
        <v>44596</v>
      </c>
      <c r="B7" s="90">
        <v>11303.57</v>
      </c>
      <c r="C7" s="90">
        <v>11531.93</v>
      </c>
      <c r="D7" s="90">
        <v>11417.75</v>
      </c>
      <c r="E7" s="176"/>
      <c r="F7" s="91">
        <v>44596</v>
      </c>
      <c r="G7" s="90">
        <v>12950.78</v>
      </c>
      <c r="H7" s="90">
        <v>13207.39</v>
      </c>
      <c r="I7" s="90">
        <v>13079.08</v>
      </c>
      <c r="K7" s="89">
        <v>44596</v>
      </c>
      <c r="L7" s="90">
        <v>15357.03</v>
      </c>
      <c r="M7" s="90">
        <v>15671.89</v>
      </c>
      <c r="N7" s="99">
        <v>15514.46</v>
      </c>
      <c r="P7" s="89">
        <v>44596</v>
      </c>
      <c r="Q7" s="99">
        <v>15975.58</v>
      </c>
    </row>
    <row r="8" spans="1:17" ht="15.75" x14ac:dyDescent="0.25">
      <c r="A8" s="89">
        <v>44599</v>
      </c>
      <c r="B8" s="90">
        <v>11303.57</v>
      </c>
      <c r="C8" s="90">
        <v>11531.93</v>
      </c>
      <c r="D8" s="90">
        <v>11417.75</v>
      </c>
      <c r="E8" s="176"/>
      <c r="F8" s="91">
        <v>44599</v>
      </c>
      <c r="G8" s="90">
        <v>12925.47</v>
      </c>
      <c r="H8" s="90">
        <v>13178.65</v>
      </c>
      <c r="I8" s="90">
        <v>13052.06</v>
      </c>
      <c r="K8" s="89">
        <v>44599</v>
      </c>
      <c r="L8" s="90">
        <v>15286.95</v>
      </c>
      <c r="M8" s="90">
        <v>15596.94</v>
      </c>
      <c r="N8" s="99">
        <v>15441.94</v>
      </c>
      <c r="P8" s="89">
        <v>44599</v>
      </c>
      <c r="Q8" s="99">
        <v>16060.98</v>
      </c>
    </row>
    <row r="9" spans="1:17" ht="15.75" x14ac:dyDescent="0.25">
      <c r="A9" s="89">
        <v>44600</v>
      </c>
      <c r="B9" s="90">
        <v>11303.57</v>
      </c>
      <c r="C9" s="90">
        <v>11531.93</v>
      </c>
      <c r="D9" s="90">
        <v>11417.75</v>
      </c>
      <c r="E9" s="176"/>
      <c r="F9" s="91">
        <v>44600</v>
      </c>
      <c r="G9" s="90">
        <v>12906.78</v>
      </c>
      <c r="H9" s="90">
        <v>13173.09</v>
      </c>
      <c r="I9" s="90">
        <v>13039.93</v>
      </c>
      <c r="K9" s="89">
        <v>44600</v>
      </c>
      <c r="L9" s="90">
        <v>15288.08</v>
      </c>
      <c r="M9" s="90">
        <v>15606.16</v>
      </c>
      <c r="N9" s="99">
        <v>15447.12</v>
      </c>
      <c r="P9" s="89">
        <v>44600</v>
      </c>
      <c r="Q9" s="99">
        <v>16038.42</v>
      </c>
    </row>
    <row r="10" spans="1:17" ht="15.75" x14ac:dyDescent="0.25">
      <c r="A10" s="89">
        <v>44601</v>
      </c>
      <c r="B10" s="90">
        <v>11303.57</v>
      </c>
      <c r="C10" s="90">
        <v>11531.93</v>
      </c>
      <c r="D10" s="90">
        <v>11417.75</v>
      </c>
      <c r="E10" s="176"/>
      <c r="F10" s="91">
        <v>44601</v>
      </c>
      <c r="G10" s="90">
        <v>12907.35</v>
      </c>
      <c r="H10" s="90">
        <v>13166.86</v>
      </c>
      <c r="I10" s="90">
        <v>13037.1</v>
      </c>
      <c r="K10" s="89">
        <v>44601</v>
      </c>
      <c r="L10" s="90">
        <v>15319.73</v>
      </c>
      <c r="M10" s="90">
        <v>15630.38</v>
      </c>
      <c r="N10" s="99">
        <v>15475.05</v>
      </c>
      <c r="P10" s="89">
        <v>44601</v>
      </c>
      <c r="Q10" s="99">
        <v>16027.16</v>
      </c>
    </row>
    <row r="11" spans="1:17" ht="15.75" x14ac:dyDescent="0.25">
      <c r="A11" s="89">
        <v>44602</v>
      </c>
      <c r="B11" s="90">
        <v>11467.93</v>
      </c>
      <c r="C11" s="90">
        <v>11699.6</v>
      </c>
      <c r="D11" s="90">
        <v>11583.77</v>
      </c>
      <c r="E11" s="176"/>
      <c r="F11" s="91">
        <v>44602</v>
      </c>
      <c r="G11" s="90">
        <v>13099.85</v>
      </c>
      <c r="H11" s="90">
        <v>13362.09</v>
      </c>
      <c r="I11" s="90">
        <v>13230.97</v>
      </c>
      <c r="K11" s="89">
        <v>44602</v>
      </c>
      <c r="L11" s="90">
        <v>15520.7</v>
      </c>
      <c r="M11" s="90">
        <v>15835.41</v>
      </c>
      <c r="N11" s="99">
        <v>15678.05</v>
      </c>
      <c r="P11" s="89">
        <v>44602</v>
      </c>
      <c r="Q11" s="99">
        <v>16264.77</v>
      </c>
    </row>
    <row r="12" spans="1:17" ht="15.75" x14ac:dyDescent="0.25">
      <c r="A12" s="89">
        <v>44603</v>
      </c>
      <c r="B12" s="90">
        <v>11467.93</v>
      </c>
      <c r="C12" s="90">
        <v>11699.6</v>
      </c>
      <c r="D12" s="90">
        <v>11583.77</v>
      </c>
      <c r="E12" s="176"/>
      <c r="F12" s="91">
        <v>44603</v>
      </c>
      <c r="G12" s="90">
        <v>13054.24</v>
      </c>
      <c r="H12" s="90">
        <v>13309.98</v>
      </c>
      <c r="I12" s="90">
        <v>13182.11</v>
      </c>
      <c r="K12" s="89">
        <v>44603</v>
      </c>
      <c r="L12" s="90">
        <v>15514.96</v>
      </c>
      <c r="M12" s="90">
        <v>15829.56</v>
      </c>
      <c r="N12" s="99">
        <v>15672.26</v>
      </c>
      <c r="P12" s="89">
        <v>44603</v>
      </c>
      <c r="Q12" s="99">
        <v>16262.49</v>
      </c>
    </row>
    <row r="13" spans="1:17" ht="15.75" x14ac:dyDescent="0.25">
      <c r="A13" s="89">
        <v>44606</v>
      </c>
      <c r="B13" s="90">
        <v>11467.93</v>
      </c>
      <c r="C13" s="90">
        <v>11699.6</v>
      </c>
      <c r="D13" s="90">
        <v>11583.77</v>
      </c>
      <c r="E13" s="176"/>
      <c r="F13" s="91">
        <v>44606</v>
      </c>
      <c r="G13" s="90">
        <v>13016.79</v>
      </c>
      <c r="H13" s="90">
        <v>13278.11</v>
      </c>
      <c r="I13" s="90">
        <v>13147.45</v>
      </c>
      <c r="K13" s="89">
        <v>44606</v>
      </c>
      <c r="L13" s="90">
        <v>15526.43</v>
      </c>
      <c r="M13" s="90">
        <v>15844.77</v>
      </c>
      <c r="N13" s="99">
        <v>15685.6</v>
      </c>
      <c r="P13" s="89">
        <v>44606</v>
      </c>
      <c r="Q13" s="99">
        <v>16244.24</v>
      </c>
    </row>
    <row r="14" spans="1:17" ht="15.75" x14ac:dyDescent="0.25">
      <c r="A14" s="89">
        <v>44607</v>
      </c>
      <c r="B14" s="90">
        <v>11467.93</v>
      </c>
      <c r="C14" s="90">
        <v>11699.6</v>
      </c>
      <c r="D14" s="90">
        <v>11583.77</v>
      </c>
      <c r="E14" s="176"/>
      <c r="F14" s="91">
        <v>44607</v>
      </c>
      <c r="G14" s="90">
        <v>12977.8</v>
      </c>
      <c r="H14" s="90">
        <v>13236.27</v>
      </c>
      <c r="I14" s="90">
        <v>13107.03</v>
      </c>
      <c r="K14" s="89">
        <v>44607</v>
      </c>
      <c r="L14" s="90">
        <v>15514.96</v>
      </c>
      <c r="M14" s="90">
        <v>15831.9</v>
      </c>
      <c r="N14" s="99">
        <v>15673.43</v>
      </c>
      <c r="P14" s="89">
        <v>44607</v>
      </c>
      <c r="Q14" s="99">
        <v>16207.88</v>
      </c>
    </row>
    <row r="15" spans="1:17" ht="15.75" x14ac:dyDescent="0.25">
      <c r="A15" s="89">
        <v>44608</v>
      </c>
      <c r="B15" s="90">
        <v>11467.93</v>
      </c>
      <c r="C15" s="90">
        <v>11699.6</v>
      </c>
      <c r="D15" s="90">
        <v>11583.77</v>
      </c>
      <c r="E15" s="176"/>
      <c r="F15" s="91">
        <v>44608</v>
      </c>
      <c r="G15" s="90">
        <v>13037.38</v>
      </c>
      <c r="H15" s="90">
        <v>13300.22</v>
      </c>
      <c r="I15" s="90">
        <v>13168.8</v>
      </c>
      <c r="K15" s="89">
        <v>44608</v>
      </c>
      <c r="L15" s="90">
        <v>15547.07</v>
      </c>
      <c r="M15" s="90">
        <v>15865.83</v>
      </c>
      <c r="N15" s="99">
        <v>15706.45</v>
      </c>
      <c r="P15" s="89">
        <v>44608</v>
      </c>
      <c r="Q15" s="99">
        <v>16226.04</v>
      </c>
    </row>
    <row r="16" spans="1:17" ht="15.75" x14ac:dyDescent="0.25">
      <c r="A16" s="89">
        <v>44609</v>
      </c>
      <c r="B16" s="90">
        <v>11446.06</v>
      </c>
      <c r="C16" s="90">
        <v>11677.29</v>
      </c>
      <c r="D16" s="90">
        <v>11561.68</v>
      </c>
      <c r="E16" s="176"/>
      <c r="F16" s="91">
        <v>44609</v>
      </c>
      <c r="G16" s="90">
        <v>12999.19</v>
      </c>
      <c r="H16" s="90">
        <v>13260.55</v>
      </c>
      <c r="I16" s="90">
        <v>13129.87</v>
      </c>
      <c r="K16" s="89">
        <v>44609</v>
      </c>
      <c r="L16" s="90">
        <v>15548.33</v>
      </c>
      <c r="M16" s="90">
        <v>15863.6</v>
      </c>
      <c r="N16" s="99">
        <v>15705.96</v>
      </c>
      <c r="P16" s="89">
        <v>44609</v>
      </c>
      <c r="Q16" s="99">
        <v>16217.81</v>
      </c>
    </row>
    <row r="17" spans="1:17" ht="15.75" x14ac:dyDescent="0.25">
      <c r="A17" s="92">
        <v>44610</v>
      </c>
      <c r="B17" s="161" t="s">
        <v>30</v>
      </c>
      <c r="C17" s="162"/>
      <c r="D17" s="163"/>
      <c r="E17" s="176"/>
      <c r="F17" s="93">
        <v>44610</v>
      </c>
      <c r="G17" s="161" t="s">
        <v>30</v>
      </c>
      <c r="H17" s="162"/>
      <c r="I17" s="163"/>
      <c r="K17" s="92">
        <v>44610</v>
      </c>
      <c r="L17" s="164" t="s">
        <v>30</v>
      </c>
      <c r="M17" s="165"/>
      <c r="N17" s="166"/>
      <c r="P17" s="92">
        <v>44610</v>
      </c>
      <c r="Q17" s="98" t="s">
        <v>36</v>
      </c>
    </row>
    <row r="18" spans="1:17" ht="15.75" x14ac:dyDescent="0.25">
      <c r="A18" s="89">
        <v>44613</v>
      </c>
      <c r="B18" s="90">
        <v>11446.06</v>
      </c>
      <c r="C18" s="90">
        <v>11677.29</v>
      </c>
      <c r="D18" s="90">
        <v>11561.68</v>
      </c>
      <c r="E18" s="176"/>
      <c r="F18" s="91">
        <v>44613</v>
      </c>
      <c r="G18" s="90">
        <v>13012.31</v>
      </c>
      <c r="H18" s="90">
        <v>13275.05</v>
      </c>
      <c r="I18" s="90">
        <v>13143.68</v>
      </c>
      <c r="K18" s="89">
        <v>44613</v>
      </c>
      <c r="L18" s="90">
        <v>15595.26</v>
      </c>
      <c r="M18" s="90">
        <v>15911.48</v>
      </c>
      <c r="N18" s="99">
        <v>15753.37</v>
      </c>
      <c r="P18" s="89">
        <v>44613</v>
      </c>
      <c r="Q18" s="99">
        <v>16224.64</v>
      </c>
    </row>
    <row r="19" spans="1:17" ht="15.75" x14ac:dyDescent="0.25">
      <c r="A19" s="89">
        <v>44614</v>
      </c>
      <c r="B19" s="90">
        <v>11446.06</v>
      </c>
      <c r="C19" s="90">
        <v>11677.29</v>
      </c>
      <c r="D19" s="90">
        <v>11561.68</v>
      </c>
      <c r="E19" s="176"/>
      <c r="F19" s="91">
        <v>44614</v>
      </c>
      <c r="G19" s="90">
        <v>12943.75</v>
      </c>
      <c r="H19" s="90">
        <v>13198.51</v>
      </c>
      <c r="I19" s="90">
        <v>13071.13</v>
      </c>
      <c r="K19" s="89">
        <v>44614</v>
      </c>
      <c r="L19" s="90">
        <v>15550.62</v>
      </c>
      <c r="M19" s="90">
        <v>15865.93</v>
      </c>
      <c r="N19" s="99">
        <v>15708.28</v>
      </c>
      <c r="P19" s="89">
        <v>44614</v>
      </c>
      <c r="Q19" s="99">
        <v>16224.64</v>
      </c>
    </row>
    <row r="20" spans="1:17" ht="15.75" x14ac:dyDescent="0.25">
      <c r="A20" s="89">
        <v>44615</v>
      </c>
      <c r="B20" s="90">
        <v>11446.06</v>
      </c>
      <c r="C20" s="90">
        <v>11677.29</v>
      </c>
      <c r="D20" s="90">
        <v>11561.68</v>
      </c>
      <c r="E20" s="176"/>
      <c r="F20" s="91">
        <v>44615</v>
      </c>
      <c r="G20" s="90">
        <v>12965.78</v>
      </c>
      <c r="H20" s="90">
        <v>13222.66</v>
      </c>
      <c r="I20" s="90">
        <v>13094.22</v>
      </c>
      <c r="K20" s="89">
        <v>44615</v>
      </c>
      <c r="L20" s="90">
        <v>15556.34</v>
      </c>
      <c r="M20" s="90">
        <v>15876.44</v>
      </c>
      <c r="N20" s="99">
        <v>15716.39</v>
      </c>
      <c r="P20" s="89">
        <v>44615</v>
      </c>
      <c r="Q20" s="99">
        <v>16210.99</v>
      </c>
    </row>
    <row r="21" spans="1:17" ht="15.75" x14ac:dyDescent="0.25">
      <c r="A21" s="89">
        <v>44616</v>
      </c>
      <c r="B21" s="90">
        <v>11579.95</v>
      </c>
      <c r="C21" s="90">
        <v>11813.89</v>
      </c>
      <c r="D21" s="90">
        <v>11696.92</v>
      </c>
      <c r="E21" s="176"/>
      <c r="F21" s="91">
        <v>44616</v>
      </c>
      <c r="G21" s="90">
        <v>13025.75</v>
      </c>
      <c r="H21" s="90">
        <v>13283.25</v>
      </c>
      <c r="I21" s="90">
        <v>13154.5</v>
      </c>
      <c r="K21" s="89">
        <v>44616</v>
      </c>
      <c r="L21" s="90">
        <v>15628.3</v>
      </c>
      <c r="M21" s="90">
        <v>15945.21</v>
      </c>
      <c r="N21" s="99">
        <v>15786.75</v>
      </c>
      <c r="P21" s="89">
        <v>44616</v>
      </c>
      <c r="Q21" s="99">
        <v>16402.919999999998</v>
      </c>
    </row>
    <row r="22" spans="1:17" ht="15.75" x14ac:dyDescent="0.25">
      <c r="A22" s="89">
        <v>44617</v>
      </c>
      <c r="B22" s="90">
        <v>11579.95</v>
      </c>
      <c r="C22" s="90">
        <v>11813.89</v>
      </c>
      <c r="D22" s="90">
        <v>11696.92</v>
      </c>
      <c r="E22" s="176"/>
      <c r="F22" s="91">
        <v>44617</v>
      </c>
      <c r="G22" s="90">
        <v>12984.87</v>
      </c>
      <c r="H22" s="90">
        <v>13240.44</v>
      </c>
      <c r="I22" s="90">
        <v>13112.65</v>
      </c>
      <c r="K22" s="89">
        <v>44617</v>
      </c>
      <c r="L22" s="90">
        <v>15540.29</v>
      </c>
      <c r="M22" s="90">
        <v>15855.42</v>
      </c>
      <c r="N22" s="99">
        <v>15697.86</v>
      </c>
      <c r="P22" s="89">
        <v>44617</v>
      </c>
      <c r="Q22" s="99">
        <v>16306.87</v>
      </c>
    </row>
    <row r="23" spans="1:17" ht="15.75" x14ac:dyDescent="0.25">
      <c r="A23" s="89">
        <v>44620</v>
      </c>
      <c r="B23" s="90">
        <v>11579.95</v>
      </c>
      <c r="C23" s="90">
        <v>11813.89</v>
      </c>
      <c r="D23" s="90">
        <v>11696.92</v>
      </c>
      <c r="E23" s="176"/>
      <c r="F23" s="91">
        <v>44618</v>
      </c>
      <c r="G23" s="90">
        <v>12925.29</v>
      </c>
      <c r="H23" s="90">
        <v>13178.59</v>
      </c>
      <c r="I23" s="90">
        <v>13051.94</v>
      </c>
      <c r="K23" s="89">
        <v>44620</v>
      </c>
      <c r="L23" s="90">
        <v>15475.45</v>
      </c>
      <c r="M23" s="90">
        <v>15789.26</v>
      </c>
      <c r="N23" s="99">
        <v>15632.35</v>
      </c>
      <c r="P23" s="89">
        <v>44620</v>
      </c>
      <c r="Q23" s="99">
        <v>16309.15</v>
      </c>
    </row>
    <row r="24" spans="1:17" ht="15.75" x14ac:dyDescent="0.25">
      <c r="A24" s="94" t="s">
        <v>31</v>
      </c>
      <c r="B24" s="95">
        <f>AVERAGE(B4:B23)</f>
        <v>11425.339473684209</v>
      </c>
      <c r="C24" s="95">
        <f>AVERAGE(C4:C23)</f>
        <v>11656.154736842109</v>
      </c>
      <c r="D24" s="95">
        <f>AVERAGE(D4:D23)</f>
        <v>11540.749473684211</v>
      </c>
      <c r="E24" s="176"/>
      <c r="F24" s="96" t="s">
        <v>32</v>
      </c>
      <c r="G24" s="95">
        <f>AVERAGE(G4:G23)</f>
        <v>12949.495789473685</v>
      </c>
      <c r="H24" s="95">
        <f>AVERAGE(H4:H23)</f>
        <v>13207.691052631577</v>
      </c>
      <c r="I24" s="95">
        <f>AVERAGE(I4:I23)</f>
        <v>13078.592105263157</v>
      </c>
      <c r="K24" s="88" t="s">
        <v>31</v>
      </c>
      <c r="L24" s="95">
        <f>AVERAGE(L4:L23)</f>
        <v>15457.527894736841</v>
      </c>
      <c r="M24" s="95">
        <f t="shared" ref="M24" si="0">AVERAGE(M4:M23)</f>
        <v>15772.677894736842</v>
      </c>
      <c r="N24" s="95">
        <f>AVERAGE(N4:N23)</f>
        <v>15615.102105263155</v>
      </c>
      <c r="P24" s="96" t="s">
        <v>32</v>
      </c>
      <c r="Q24" s="100">
        <f>AVERAGE(Q4:Q23)</f>
        <v>16167.473157894736</v>
      </c>
    </row>
    <row r="26" spans="1:17" x14ac:dyDescent="0.25">
      <c r="A26" s="45" t="s">
        <v>12</v>
      </c>
      <c r="K26" s="45" t="s">
        <v>12</v>
      </c>
    </row>
    <row r="27" spans="1:17" x14ac:dyDescent="0.25">
      <c r="A27" s="45" t="s">
        <v>13</v>
      </c>
      <c r="K27" s="45" t="s">
        <v>13</v>
      </c>
    </row>
    <row r="28" spans="1:17" x14ac:dyDescent="0.25">
      <c r="A28" s="45" t="s">
        <v>14</v>
      </c>
      <c r="K28" s="45" t="s">
        <v>14</v>
      </c>
    </row>
  </sheetData>
  <mergeCells count="15">
    <mergeCell ref="A1:D1"/>
    <mergeCell ref="F1:I1"/>
    <mergeCell ref="K1:N1"/>
    <mergeCell ref="A2:A3"/>
    <mergeCell ref="B2:D2"/>
    <mergeCell ref="E2:E24"/>
    <mergeCell ref="F2:F3"/>
    <mergeCell ref="G2:I2"/>
    <mergeCell ref="B17:D17"/>
    <mergeCell ref="G17:I17"/>
    <mergeCell ref="K2:K3"/>
    <mergeCell ref="L2:N2"/>
    <mergeCell ref="L17:N17"/>
    <mergeCell ref="P2:P3"/>
    <mergeCell ref="Q2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25" workbookViewId="0">
      <selection activeCell="A29" sqref="A29:A31"/>
    </sheetView>
  </sheetViews>
  <sheetFormatPr defaultRowHeight="15" x14ac:dyDescent="0.25"/>
  <cols>
    <col min="1" max="1" width="13.28515625" customWidth="1"/>
    <col min="2" max="2" width="10.85546875" customWidth="1"/>
    <col min="3" max="4" width="11" customWidth="1"/>
    <col min="5" max="5" width="3" customWidth="1"/>
    <col min="6" max="6" width="13.5703125" customWidth="1"/>
    <col min="7" max="7" width="12.5703125" customWidth="1"/>
    <col min="8" max="9" width="12.7109375" customWidth="1"/>
    <col min="11" max="11" width="13.28515625" customWidth="1"/>
    <col min="12" max="14" width="12" customWidth="1"/>
    <col min="16" max="16" width="13.140625" customWidth="1"/>
    <col min="17" max="17" width="13" customWidth="1"/>
  </cols>
  <sheetData>
    <row r="1" spans="1:17" s="51" customFormat="1" ht="15.75" thickBot="1" x14ac:dyDescent="0.3">
      <c r="A1" s="155" t="s">
        <v>42</v>
      </c>
      <c r="B1" s="155"/>
      <c r="C1" s="155"/>
      <c r="D1" s="155"/>
      <c r="F1" s="155" t="s">
        <v>42</v>
      </c>
      <c r="G1" s="155"/>
      <c r="H1" s="155"/>
      <c r="I1" s="155"/>
      <c r="K1" s="155" t="s">
        <v>42</v>
      </c>
      <c r="L1" s="155"/>
      <c r="M1" s="155"/>
      <c r="N1" s="155"/>
      <c r="P1" s="47" t="s">
        <v>43</v>
      </c>
      <c r="Q1" s="17"/>
    </row>
    <row r="2" spans="1:17" x14ac:dyDescent="0.25">
      <c r="A2" s="171" t="s">
        <v>24</v>
      </c>
      <c r="B2" s="173" t="s">
        <v>25</v>
      </c>
      <c r="C2" s="174"/>
      <c r="D2" s="175"/>
      <c r="E2" s="176"/>
      <c r="F2" s="171" t="s">
        <v>24</v>
      </c>
      <c r="G2" s="177" t="s">
        <v>26</v>
      </c>
      <c r="H2" s="178"/>
      <c r="I2" s="179"/>
      <c r="K2" s="171" t="s">
        <v>24</v>
      </c>
      <c r="L2" s="177" t="s">
        <v>33</v>
      </c>
      <c r="M2" s="178"/>
      <c r="N2" s="179"/>
      <c r="P2" s="167" t="s">
        <v>34</v>
      </c>
      <c r="Q2" s="169" t="s">
        <v>35</v>
      </c>
    </row>
    <row r="3" spans="1:17" x14ac:dyDescent="0.25">
      <c r="A3" s="172"/>
      <c r="B3" s="88" t="s">
        <v>27</v>
      </c>
      <c r="C3" s="88" t="s">
        <v>28</v>
      </c>
      <c r="D3" s="101" t="s">
        <v>29</v>
      </c>
      <c r="E3" s="176"/>
      <c r="F3" s="172"/>
      <c r="G3" s="88" t="s">
        <v>27</v>
      </c>
      <c r="H3" s="88" t="s">
        <v>28</v>
      </c>
      <c r="I3" s="88" t="s">
        <v>29</v>
      </c>
      <c r="K3" s="172"/>
      <c r="L3" s="105" t="s">
        <v>27</v>
      </c>
      <c r="M3" s="105" t="s">
        <v>28</v>
      </c>
      <c r="N3" s="106" t="s">
        <v>29</v>
      </c>
      <c r="P3" s="168"/>
      <c r="Q3" s="170"/>
    </row>
    <row r="4" spans="1:17" x14ac:dyDescent="0.25">
      <c r="A4" s="89">
        <v>44621</v>
      </c>
      <c r="B4" s="90">
        <v>11579.95</v>
      </c>
      <c r="C4" s="90">
        <v>11813.89</v>
      </c>
      <c r="D4" s="102">
        <v>11696.92</v>
      </c>
      <c r="E4" s="176"/>
      <c r="F4" s="103">
        <v>44621</v>
      </c>
      <c r="G4" s="90">
        <v>12970.39</v>
      </c>
      <c r="H4" s="90">
        <v>13238.11</v>
      </c>
      <c r="I4" s="90">
        <v>13104.25</v>
      </c>
      <c r="K4" s="107">
        <v>44621</v>
      </c>
      <c r="L4" s="90">
        <v>15533.34</v>
      </c>
      <c r="M4" s="90">
        <v>15856.6</v>
      </c>
      <c r="N4" s="108">
        <v>15694.97</v>
      </c>
      <c r="P4" s="107">
        <v>44621</v>
      </c>
      <c r="Q4" s="108">
        <v>16315.97</v>
      </c>
    </row>
    <row r="5" spans="1:17" x14ac:dyDescent="0.25">
      <c r="A5" s="89">
        <v>44622</v>
      </c>
      <c r="B5" s="90">
        <v>11579.95</v>
      </c>
      <c r="C5" s="90">
        <v>11813.89</v>
      </c>
      <c r="D5" s="102">
        <v>11696.92</v>
      </c>
      <c r="E5" s="176"/>
      <c r="F5" s="103">
        <v>44622</v>
      </c>
      <c r="G5" s="90">
        <v>12858.76</v>
      </c>
      <c r="H5" s="90">
        <v>13110.76</v>
      </c>
      <c r="I5" s="90">
        <v>12984.76</v>
      </c>
      <c r="K5" s="107">
        <v>44622</v>
      </c>
      <c r="L5" s="90">
        <v>15393.23</v>
      </c>
      <c r="M5" s="90">
        <v>15705.39</v>
      </c>
      <c r="N5" s="108">
        <v>15549.31</v>
      </c>
      <c r="P5" s="107">
        <v>44622</v>
      </c>
      <c r="Q5" s="108">
        <v>16313.7</v>
      </c>
    </row>
    <row r="6" spans="1:17" x14ac:dyDescent="0.25">
      <c r="A6" s="89">
        <v>44623</v>
      </c>
      <c r="B6" s="90">
        <v>11517.71</v>
      </c>
      <c r="C6" s="90">
        <v>11750.39</v>
      </c>
      <c r="D6" s="102">
        <v>11634.05</v>
      </c>
      <c r="E6" s="176"/>
      <c r="F6" s="103">
        <v>44623</v>
      </c>
      <c r="G6" s="90">
        <v>12791.2</v>
      </c>
      <c r="H6" s="90">
        <v>13037.62</v>
      </c>
      <c r="I6" s="90">
        <v>12914.41</v>
      </c>
      <c r="K6" s="107">
        <v>44623</v>
      </c>
      <c r="L6" s="90">
        <v>15444.1</v>
      </c>
      <c r="M6" s="90">
        <v>15757.27</v>
      </c>
      <c r="N6" s="108">
        <v>15600.69</v>
      </c>
      <c r="P6" s="107">
        <v>44623</v>
      </c>
      <c r="Q6" s="108">
        <v>16178.63</v>
      </c>
    </row>
    <row r="7" spans="1:17" x14ac:dyDescent="0.25">
      <c r="A7" s="89">
        <v>44624</v>
      </c>
      <c r="B7" s="90">
        <v>11517.71</v>
      </c>
      <c r="C7" s="90">
        <v>11750.39</v>
      </c>
      <c r="D7" s="102">
        <v>11634.05</v>
      </c>
      <c r="E7" s="176"/>
      <c r="F7" s="103">
        <v>44624</v>
      </c>
      <c r="G7" s="90">
        <v>12692.52</v>
      </c>
      <c r="H7" s="90">
        <v>12944.56</v>
      </c>
      <c r="I7" s="90">
        <v>12818.54</v>
      </c>
      <c r="K7" s="107">
        <v>44624</v>
      </c>
      <c r="L7" s="90">
        <v>15355.41</v>
      </c>
      <c r="M7" s="90">
        <v>15666.79</v>
      </c>
      <c r="N7" s="108">
        <v>15511.1</v>
      </c>
      <c r="P7" s="107">
        <v>44624</v>
      </c>
      <c r="Q7" s="108">
        <v>16169.63</v>
      </c>
    </row>
    <row r="8" spans="1:17" x14ac:dyDescent="0.25">
      <c r="A8" s="89">
        <v>44627</v>
      </c>
      <c r="B8" s="90">
        <v>11517.71</v>
      </c>
      <c r="C8" s="90">
        <v>11750.39</v>
      </c>
      <c r="D8" s="102">
        <v>11634.05</v>
      </c>
      <c r="E8" s="176"/>
      <c r="F8" s="103">
        <v>44627</v>
      </c>
      <c r="G8" s="90">
        <v>12531.25</v>
      </c>
      <c r="H8" s="90">
        <v>12779.06</v>
      </c>
      <c r="I8" s="90">
        <v>12655.15</v>
      </c>
      <c r="K8" s="107">
        <v>44627</v>
      </c>
      <c r="L8" s="90">
        <v>15222.96</v>
      </c>
      <c r="M8" s="90">
        <v>15531.67</v>
      </c>
      <c r="N8" s="108">
        <v>15377.31</v>
      </c>
      <c r="P8" s="107">
        <v>44627</v>
      </c>
      <c r="Q8" s="108">
        <v>16115.87</v>
      </c>
    </row>
    <row r="9" spans="1:17" x14ac:dyDescent="0.25">
      <c r="A9" s="92">
        <v>44628</v>
      </c>
      <c r="B9" s="161" t="s">
        <v>30</v>
      </c>
      <c r="C9" s="162"/>
      <c r="D9" s="163"/>
      <c r="E9" s="176"/>
      <c r="F9" s="104">
        <v>44628</v>
      </c>
      <c r="G9" s="180" t="s">
        <v>30</v>
      </c>
      <c r="H9" s="181"/>
      <c r="I9" s="182"/>
      <c r="K9" s="109">
        <v>44628</v>
      </c>
      <c r="L9" s="180" t="s">
        <v>30</v>
      </c>
      <c r="M9" s="181"/>
      <c r="N9" s="182"/>
      <c r="P9" s="109">
        <v>44628</v>
      </c>
      <c r="Q9" s="101" t="s">
        <v>36</v>
      </c>
    </row>
    <row r="10" spans="1:17" x14ac:dyDescent="0.25">
      <c r="A10" s="89">
        <v>44629</v>
      </c>
      <c r="B10" s="90">
        <v>11517.71</v>
      </c>
      <c r="C10" s="90">
        <v>11750.39</v>
      </c>
      <c r="D10" s="102">
        <v>11634.05</v>
      </c>
      <c r="E10" s="176"/>
      <c r="F10" s="103">
        <v>44629</v>
      </c>
      <c r="G10" s="90">
        <v>12574.79</v>
      </c>
      <c r="H10" s="90">
        <v>12824.47</v>
      </c>
      <c r="I10" s="90">
        <v>12699.63</v>
      </c>
      <c r="K10" s="107">
        <v>44629</v>
      </c>
      <c r="L10" s="90">
        <v>15112.39</v>
      </c>
      <c r="M10" s="90">
        <v>15418.86</v>
      </c>
      <c r="N10" s="108">
        <v>15265.62</v>
      </c>
      <c r="P10" s="107">
        <v>44629</v>
      </c>
      <c r="Q10" s="108">
        <v>16060.26</v>
      </c>
    </row>
    <row r="11" spans="1:17" x14ac:dyDescent="0.25">
      <c r="A11" s="89">
        <v>44630</v>
      </c>
      <c r="B11" s="90">
        <v>11596.11</v>
      </c>
      <c r="C11" s="90">
        <v>11830.37</v>
      </c>
      <c r="D11" s="102">
        <v>11713.24</v>
      </c>
      <c r="E11" s="176"/>
      <c r="F11" s="103">
        <v>44630</v>
      </c>
      <c r="G11" s="90">
        <v>12834.07</v>
      </c>
      <c r="H11" s="90">
        <v>13085.54</v>
      </c>
      <c r="I11" s="90">
        <v>12959.8</v>
      </c>
      <c r="K11" s="107">
        <v>44630</v>
      </c>
      <c r="L11" s="90">
        <v>15291.79</v>
      </c>
      <c r="M11" s="90">
        <v>15601.89</v>
      </c>
      <c r="N11" s="108">
        <v>15446.84</v>
      </c>
      <c r="P11" s="107">
        <v>44630</v>
      </c>
      <c r="Q11" s="108">
        <v>16203.13</v>
      </c>
    </row>
    <row r="12" spans="1:17" x14ac:dyDescent="0.25">
      <c r="A12" s="89">
        <v>44631</v>
      </c>
      <c r="B12" s="90">
        <v>11596.11</v>
      </c>
      <c r="C12" s="90">
        <v>11830.37</v>
      </c>
      <c r="D12" s="102">
        <v>11713.24</v>
      </c>
      <c r="E12" s="176"/>
      <c r="F12" s="103">
        <v>44631</v>
      </c>
      <c r="G12" s="90">
        <v>12764.59</v>
      </c>
      <c r="H12" s="90">
        <v>13014.7</v>
      </c>
      <c r="I12" s="90">
        <v>12889.64</v>
      </c>
      <c r="K12" s="107">
        <v>44631</v>
      </c>
      <c r="L12" s="90">
        <v>15188.58</v>
      </c>
      <c r="M12" s="90">
        <v>15496.6</v>
      </c>
      <c r="N12" s="108">
        <v>15342.59</v>
      </c>
      <c r="P12" s="107">
        <v>44631</v>
      </c>
      <c r="Q12" s="108">
        <v>16234.57</v>
      </c>
    </row>
    <row r="13" spans="1:17" x14ac:dyDescent="0.25">
      <c r="A13" s="89">
        <v>44634</v>
      </c>
      <c r="B13" s="90">
        <v>11596.11</v>
      </c>
      <c r="C13" s="90">
        <v>11830.37</v>
      </c>
      <c r="D13" s="102">
        <v>11713.24</v>
      </c>
      <c r="E13" s="176"/>
      <c r="F13" s="103">
        <v>44634</v>
      </c>
      <c r="G13" s="90">
        <v>12663.3</v>
      </c>
      <c r="H13" s="90">
        <v>12914.06</v>
      </c>
      <c r="I13" s="90">
        <v>12788.68</v>
      </c>
      <c r="K13" s="107">
        <v>44634</v>
      </c>
      <c r="L13" s="90">
        <v>15094.66</v>
      </c>
      <c r="M13" s="90">
        <v>15409.06</v>
      </c>
      <c r="N13" s="108">
        <v>15251.86</v>
      </c>
      <c r="P13" s="107">
        <v>44634</v>
      </c>
      <c r="Q13" s="108">
        <v>16203.13</v>
      </c>
    </row>
    <row r="14" spans="1:17" x14ac:dyDescent="0.25">
      <c r="A14" s="89">
        <v>44635</v>
      </c>
      <c r="B14" s="90">
        <v>11596.11</v>
      </c>
      <c r="C14" s="90">
        <v>11830.37</v>
      </c>
      <c r="D14" s="102">
        <v>11713.24</v>
      </c>
      <c r="E14" s="176"/>
      <c r="F14" s="103">
        <v>44635</v>
      </c>
      <c r="G14" s="90">
        <v>12770.61</v>
      </c>
      <c r="H14" s="90">
        <v>13023.99</v>
      </c>
      <c r="I14" s="90">
        <v>12897.3</v>
      </c>
      <c r="K14" s="107">
        <v>44635</v>
      </c>
      <c r="L14" s="90">
        <v>15117.85</v>
      </c>
      <c r="M14" s="90">
        <v>15425.62</v>
      </c>
      <c r="N14" s="108">
        <v>15271.73</v>
      </c>
      <c r="P14" s="107">
        <v>44635</v>
      </c>
      <c r="Q14" s="108">
        <v>16140.61</v>
      </c>
    </row>
    <row r="15" spans="1:17" x14ac:dyDescent="0.25">
      <c r="A15" s="89">
        <v>44636</v>
      </c>
      <c r="B15" s="90">
        <v>11596.11</v>
      </c>
      <c r="C15" s="90">
        <v>11830.37</v>
      </c>
      <c r="D15" s="102">
        <v>11713.24</v>
      </c>
      <c r="E15" s="176"/>
      <c r="F15" s="103">
        <v>44636</v>
      </c>
      <c r="G15" s="90">
        <v>12732.03</v>
      </c>
      <c r="H15" s="90">
        <v>12986.66</v>
      </c>
      <c r="I15" s="90">
        <v>12859.34</v>
      </c>
      <c r="K15" s="107">
        <v>44636</v>
      </c>
      <c r="L15" s="90">
        <v>15142.2</v>
      </c>
      <c r="M15" s="90">
        <v>15452.83</v>
      </c>
      <c r="N15" s="108">
        <v>15297.51</v>
      </c>
      <c r="P15" s="107">
        <v>44636</v>
      </c>
      <c r="Q15" s="108">
        <v>16156.19</v>
      </c>
    </row>
    <row r="16" spans="1:17" x14ac:dyDescent="0.25">
      <c r="A16" s="89">
        <v>44637</v>
      </c>
      <c r="B16" s="90">
        <v>11619.09</v>
      </c>
      <c r="C16" s="90">
        <v>11853.82</v>
      </c>
      <c r="D16" s="102">
        <v>11736.46</v>
      </c>
      <c r="E16" s="176"/>
      <c r="F16" s="103">
        <v>44637</v>
      </c>
      <c r="G16" s="90">
        <v>12823.65</v>
      </c>
      <c r="H16" s="90">
        <v>13081.21</v>
      </c>
      <c r="I16" s="90">
        <v>12952.43</v>
      </c>
      <c r="K16" s="107">
        <v>44637</v>
      </c>
      <c r="L16" s="90">
        <v>15301.18</v>
      </c>
      <c r="M16" s="90">
        <v>15615.04</v>
      </c>
      <c r="N16" s="108">
        <v>15458.11</v>
      </c>
      <c r="P16" s="107">
        <v>44637</v>
      </c>
      <c r="Q16" s="108">
        <v>16212.82</v>
      </c>
    </row>
    <row r="17" spans="1:17" x14ac:dyDescent="0.25">
      <c r="A17" s="89">
        <v>44638</v>
      </c>
      <c r="B17" s="90">
        <v>11619.09</v>
      </c>
      <c r="C17" s="90">
        <v>11853.82</v>
      </c>
      <c r="D17" s="102">
        <v>11736.46</v>
      </c>
      <c r="E17" s="176"/>
      <c r="F17" s="103">
        <v>44638</v>
      </c>
      <c r="G17" s="90">
        <v>12882.91</v>
      </c>
      <c r="H17" s="90">
        <v>13136.42</v>
      </c>
      <c r="I17" s="90">
        <v>13009.66</v>
      </c>
      <c r="K17" s="107">
        <v>44638</v>
      </c>
      <c r="L17" s="90">
        <v>15290.72</v>
      </c>
      <c r="M17" s="90">
        <v>15600.81</v>
      </c>
      <c r="N17" s="108">
        <v>15445.77</v>
      </c>
      <c r="P17" s="107">
        <v>44638</v>
      </c>
      <c r="Q17" s="108">
        <v>16235.25</v>
      </c>
    </row>
    <row r="18" spans="1:17" x14ac:dyDescent="0.25">
      <c r="A18" s="89">
        <v>44641</v>
      </c>
      <c r="B18" s="90">
        <v>11619.09</v>
      </c>
      <c r="C18" s="90">
        <v>11853.82</v>
      </c>
      <c r="D18" s="102">
        <v>11736.46</v>
      </c>
      <c r="E18" s="176"/>
      <c r="F18" s="103">
        <v>44641</v>
      </c>
      <c r="G18" s="90">
        <v>12829.78</v>
      </c>
      <c r="H18" s="90">
        <v>13081.17</v>
      </c>
      <c r="I18" s="90">
        <v>12955.48</v>
      </c>
      <c r="K18" s="107">
        <v>44641</v>
      </c>
      <c r="L18" s="90">
        <v>15280.27</v>
      </c>
      <c r="M18" s="90">
        <v>15590.14</v>
      </c>
      <c r="N18" s="108">
        <v>15435.2</v>
      </c>
      <c r="P18" s="107">
        <v>44641</v>
      </c>
      <c r="Q18" s="108">
        <v>16210.58</v>
      </c>
    </row>
    <row r="19" spans="1:17" x14ac:dyDescent="0.25">
      <c r="A19" s="89">
        <v>44642</v>
      </c>
      <c r="B19" s="90">
        <v>11619.09</v>
      </c>
      <c r="C19" s="90">
        <v>11853.82</v>
      </c>
      <c r="D19" s="102">
        <v>11736.46</v>
      </c>
      <c r="E19" s="176"/>
      <c r="F19" s="103">
        <v>44642</v>
      </c>
      <c r="G19" s="90">
        <v>12758.54</v>
      </c>
      <c r="H19" s="90">
        <v>13004.22</v>
      </c>
      <c r="I19" s="90">
        <v>12881.38</v>
      </c>
      <c r="K19" s="107">
        <v>44642</v>
      </c>
      <c r="L19" s="90">
        <v>15247.73</v>
      </c>
      <c r="M19" s="90">
        <v>15556.95</v>
      </c>
      <c r="N19" s="108">
        <v>15402.34</v>
      </c>
      <c r="P19" s="107">
        <v>44642</v>
      </c>
      <c r="Q19" s="108">
        <v>16217.3</v>
      </c>
    </row>
    <row r="20" spans="1:17" x14ac:dyDescent="0.25">
      <c r="A20" s="89">
        <v>44643</v>
      </c>
      <c r="B20" s="90">
        <v>11619.09</v>
      </c>
      <c r="C20" s="90">
        <v>11853.82</v>
      </c>
      <c r="D20" s="102">
        <v>11736.46</v>
      </c>
      <c r="E20" s="176"/>
      <c r="F20" s="103">
        <v>44643</v>
      </c>
      <c r="G20" s="90">
        <v>12818.57</v>
      </c>
      <c r="H20" s="90">
        <v>13076.04</v>
      </c>
      <c r="I20" s="90">
        <v>12947.3</v>
      </c>
      <c r="K20" s="107">
        <v>44643</v>
      </c>
      <c r="L20" s="90">
        <v>15422.02</v>
      </c>
      <c r="M20" s="90">
        <v>15738.32</v>
      </c>
      <c r="N20" s="108">
        <v>15580.17</v>
      </c>
      <c r="P20" s="107">
        <v>44643</v>
      </c>
      <c r="Q20" s="108">
        <v>16192.69</v>
      </c>
    </row>
    <row r="21" spans="1:17" x14ac:dyDescent="0.25">
      <c r="A21" s="89">
        <v>44644</v>
      </c>
      <c r="B21" s="90">
        <v>11741.34</v>
      </c>
      <c r="C21" s="90">
        <v>11978.54</v>
      </c>
      <c r="D21" s="102">
        <v>11859.94</v>
      </c>
      <c r="E21" s="176"/>
      <c r="F21" s="103">
        <v>44644</v>
      </c>
      <c r="G21" s="90">
        <v>12901.58</v>
      </c>
      <c r="H21" s="90">
        <v>13157.35</v>
      </c>
      <c r="I21" s="90">
        <v>13029.46</v>
      </c>
      <c r="K21" s="107">
        <v>44644</v>
      </c>
      <c r="L21" s="90">
        <v>15484.48</v>
      </c>
      <c r="M21" s="90">
        <v>15803.29</v>
      </c>
      <c r="N21" s="108">
        <v>15643.88</v>
      </c>
      <c r="P21" s="107">
        <v>44644</v>
      </c>
      <c r="Q21" s="108">
        <v>16349.52</v>
      </c>
    </row>
    <row r="22" spans="1:17" x14ac:dyDescent="0.25">
      <c r="A22" s="89">
        <v>44645</v>
      </c>
      <c r="B22" s="90">
        <v>11741.34</v>
      </c>
      <c r="C22" s="90">
        <v>11978.54</v>
      </c>
      <c r="D22" s="102">
        <v>11859.94</v>
      </c>
      <c r="E22" s="176"/>
      <c r="F22" s="103">
        <v>44645</v>
      </c>
      <c r="G22" s="90">
        <v>12945.66</v>
      </c>
      <c r="H22" s="90">
        <v>13204.78</v>
      </c>
      <c r="I22" s="90">
        <v>13075.22</v>
      </c>
      <c r="K22" s="107">
        <v>44645</v>
      </c>
      <c r="L22" s="90">
        <v>15511.48</v>
      </c>
      <c r="M22" s="90">
        <v>15827.24</v>
      </c>
      <c r="N22" s="108">
        <v>15669.36</v>
      </c>
      <c r="P22" s="107">
        <v>44645</v>
      </c>
      <c r="Q22" s="108">
        <v>16349.52</v>
      </c>
    </row>
    <row r="23" spans="1:17" x14ac:dyDescent="0.25">
      <c r="A23" s="89">
        <v>44648</v>
      </c>
      <c r="B23" s="90">
        <v>11741.34</v>
      </c>
      <c r="C23" s="90">
        <v>11978.54</v>
      </c>
      <c r="D23" s="102">
        <v>11859.94</v>
      </c>
      <c r="E23" s="176"/>
      <c r="F23" s="103">
        <v>44648</v>
      </c>
      <c r="G23" s="90">
        <v>12854.9</v>
      </c>
      <c r="H23" s="90">
        <v>13113.13</v>
      </c>
      <c r="I23" s="90">
        <v>12984.02</v>
      </c>
      <c r="K23" s="107">
        <v>44648</v>
      </c>
      <c r="L23" s="90">
        <v>15424.6</v>
      </c>
      <c r="M23" s="90">
        <v>15741</v>
      </c>
      <c r="N23" s="108">
        <v>15582.8</v>
      </c>
      <c r="P23" s="107">
        <v>44648</v>
      </c>
      <c r="Q23" s="108">
        <v>16358.54</v>
      </c>
    </row>
    <row r="24" spans="1:17" x14ac:dyDescent="0.25">
      <c r="A24" s="89">
        <v>44649</v>
      </c>
      <c r="B24" s="90">
        <v>11741.34</v>
      </c>
      <c r="C24" s="90">
        <v>11978.54</v>
      </c>
      <c r="D24" s="102">
        <v>11859.94</v>
      </c>
      <c r="E24" s="176"/>
      <c r="F24" s="103">
        <v>44649</v>
      </c>
      <c r="G24" s="90">
        <v>12958.32</v>
      </c>
      <c r="H24" s="90">
        <v>13215.33</v>
      </c>
      <c r="I24" s="90">
        <v>13086.82</v>
      </c>
      <c r="K24" s="107">
        <v>44649</v>
      </c>
      <c r="L24" s="90">
        <v>15377.63</v>
      </c>
      <c r="M24" s="90">
        <v>15691.89</v>
      </c>
      <c r="N24" s="108">
        <v>15534.76</v>
      </c>
      <c r="P24" s="107">
        <v>44649</v>
      </c>
      <c r="Q24" s="108">
        <v>16315.78</v>
      </c>
    </row>
    <row r="25" spans="1:17" x14ac:dyDescent="0.25">
      <c r="A25" s="89">
        <v>44650</v>
      </c>
      <c r="B25" s="90">
        <v>11741.34</v>
      </c>
      <c r="C25" s="90">
        <v>11978.54</v>
      </c>
      <c r="D25" s="102">
        <v>11859.94</v>
      </c>
      <c r="E25" s="176"/>
      <c r="F25" s="103">
        <v>44650</v>
      </c>
      <c r="G25" s="90">
        <v>13074.61</v>
      </c>
      <c r="H25" s="90">
        <v>13334.89</v>
      </c>
      <c r="I25" s="90">
        <v>13204.75</v>
      </c>
      <c r="K25" s="107">
        <v>44650</v>
      </c>
      <c r="L25" s="90">
        <v>15405.81</v>
      </c>
      <c r="M25" s="90">
        <v>15721.83</v>
      </c>
      <c r="N25" s="108">
        <v>15563.82</v>
      </c>
      <c r="P25" s="107">
        <v>44650</v>
      </c>
      <c r="Q25" s="108">
        <v>16342.76</v>
      </c>
    </row>
    <row r="26" spans="1:17" x14ac:dyDescent="0.25">
      <c r="A26" s="89">
        <v>44651</v>
      </c>
      <c r="B26" s="90">
        <v>11770.29</v>
      </c>
      <c r="C26" s="90">
        <v>12008.07</v>
      </c>
      <c r="D26" s="102">
        <v>11889.18</v>
      </c>
      <c r="E26" s="176"/>
      <c r="F26" s="103">
        <v>44651</v>
      </c>
      <c r="G26" s="90">
        <v>12749.53</v>
      </c>
      <c r="H26" s="90">
        <v>13000.58</v>
      </c>
      <c r="I26" s="90">
        <v>12875.05</v>
      </c>
      <c r="K26" s="107">
        <v>44651</v>
      </c>
      <c r="L26" s="90">
        <v>15462.63</v>
      </c>
      <c r="M26" s="90">
        <v>15776.2</v>
      </c>
      <c r="N26" s="108">
        <v>15619.42</v>
      </c>
      <c r="P26" s="107">
        <v>44651</v>
      </c>
      <c r="Q26" s="108">
        <v>16446.509999999998</v>
      </c>
    </row>
    <row r="27" spans="1:17" x14ac:dyDescent="0.25">
      <c r="A27" s="94" t="s">
        <v>31</v>
      </c>
      <c r="B27" s="95">
        <f>AVERAGE(B4:B26)</f>
        <v>11626.53318181818</v>
      </c>
      <c r="C27" s="95">
        <f t="shared" ref="C27:D27" si="0">AVERAGE(C4:C26)</f>
        <v>11861.411818181821</v>
      </c>
      <c r="D27" s="95">
        <f t="shared" si="0"/>
        <v>11743.973636363637</v>
      </c>
      <c r="E27" s="176"/>
      <c r="F27" s="88" t="s">
        <v>31</v>
      </c>
      <c r="G27" s="95">
        <f>AVERAGE(G4:G26)</f>
        <v>12808.252727272729</v>
      </c>
      <c r="H27" s="95">
        <f t="shared" ref="H27:I27" si="1">AVERAGE(H4:H26)</f>
        <v>13062.029545454547</v>
      </c>
      <c r="I27" s="95">
        <f t="shared" si="1"/>
        <v>12935.139545454545</v>
      </c>
      <c r="K27" s="88" t="s">
        <v>31</v>
      </c>
      <c r="L27" s="95">
        <f>AVERAGE(L4:L26)</f>
        <v>15322.957272727273</v>
      </c>
      <c r="M27" s="95">
        <f t="shared" ref="M27:N27" si="2">AVERAGE(M4:M26)</f>
        <v>15635.695000000002</v>
      </c>
      <c r="N27" s="95">
        <f t="shared" si="2"/>
        <v>15479.325454545453</v>
      </c>
      <c r="P27" s="88" t="s">
        <v>31</v>
      </c>
      <c r="Q27" s="110">
        <f>AVERAGE(Q4:Q26)</f>
        <v>16241.952727272728</v>
      </c>
    </row>
    <row r="29" spans="1:17" x14ac:dyDescent="0.25">
      <c r="A29" s="45" t="s">
        <v>12</v>
      </c>
      <c r="K29" s="45" t="s">
        <v>12</v>
      </c>
    </row>
    <row r="30" spans="1:17" x14ac:dyDescent="0.25">
      <c r="A30" s="45" t="s">
        <v>13</v>
      </c>
      <c r="K30" s="45" t="s">
        <v>13</v>
      </c>
    </row>
    <row r="31" spans="1:17" x14ac:dyDescent="0.25">
      <c r="A31" s="45" t="s">
        <v>14</v>
      </c>
      <c r="K31" s="45" t="s">
        <v>14</v>
      </c>
    </row>
  </sheetData>
  <mergeCells count="15">
    <mergeCell ref="A1:D1"/>
    <mergeCell ref="F1:I1"/>
    <mergeCell ref="K1:N1"/>
    <mergeCell ref="A2:A3"/>
    <mergeCell ref="B2:D2"/>
    <mergeCell ref="E2:E27"/>
    <mergeCell ref="F2:F3"/>
    <mergeCell ref="G2:I2"/>
    <mergeCell ref="B9:D9"/>
    <mergeCell ref="G9:I9"/>
    <mergeCell ref="K2:K3"/>
    <mergeCell ref="L2:N2"/>
    <mergeCell ref="L9:N9"/>
    <mergeCell ref="P2:P3"/>
    <mergeCell ref="Q2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workbookViewId="0">
      <selection activeCell="A27" sqref="A27:A29"/>
    </sheetView>
  </sheetViews>
  <sheetFormatPr defaultRowHeight="15" x14ac:dyDescent="0.25"/>
  <cols>
    <col min="1" max="1" width="13.28515625" customWidth="1"/>
    <col min="2" max="4" width="11.28515625" customWidth="1"/>
    <col min="5" max="5" width="8.42578125" customWidth="1"/>
    <col min="6" max="6" width="13.28515625" customWidth="1"/>
    <col min="7" max="8" width="12" customWidth="1"/>
    <col min="9" max="9" width="12.140625" customWidth="1"/>
    <col min="11" max="13" width="15" customWidth="1"/>
    <col min="14" max="14" width="14.85546875" customWidth="1"/>
    <col min="16" max="17" width="13.28515625" customWidth="1"/>
  </cols>
  <sheetData>
    <row r="1" spans="1:17" s="51" customFormat="1" ht="15.75" thickBot="1" x14ac:dyDescent="0.3">
      <c r="A1" s="155" t="s">
        <v>44</v>
      </c>
      <c r="B1" s="155"/>
      <c r="C1" s="155"/>
      <c r="D1" s="155"/>
      <c r="F1" s="155" t="s">
        <v>44</v>
      </c>
      <c r="G1" s="155"/>
      <c r="H1" s="155"/>
      <c r="I1" s="155"/>
      <c r="K1" s="155" t="s">
        <v>45</v>
      </c>
      <c r="L1" s="155"/>
      <c r="M1" s="155"/>
      <c r="N1" s="155"/>
      <c r="P1" s="47" t="s">
        <v>46</v>
      </c>
      <c r="Q1" s="17"/>
    </row>
    <row r="2" spans="1:17" ht="15" customHeight="1" x14ac:dyDescent="0.25">
      <c r="A2" s="171" t="s">
        <v>24</v>
      </c>
      <c r="B2" s="173" t="s">
        <v>25</v>
      </c>
      <c r="C2" s="174"/>
      <c r="D2" s="175"/>
      <c r="E2" s="176"/>
      <c r="F2" s="171" t="s">
        <v>24</v>
      </c>
      <c r="G2" s="177" t="s">
        <v>26</v>
      </c>
      <c r="H2" s="178"/>
      <c r="I2" s="179"/>
      <c r="K2" s="159" t="s">
        <v>24</v>
      </c>
      <c r="L2" s="180" t="s">
        <v>33</v>
      </c>
      <c r="M2" s="181"/>
      <c r="N2" s="182"/>
      <c r="P2" s="167" t="s">
        <v>34</v>
      </c>
      <c r="Q2" s="183" t="s">
        <v>40</v>
      </c>
    </row>
    <row r="3" spans="1:17" x14ac:dyDescent="0.25">
      <c r="A3" s="172"/>
      <c r="B3" s="88" t="s">
        <v>27</v>
      </c>
      <c r="C3" s="88" t="s">
        <v>28</v>
      </c>
      <c r="D3" s="101" t="s">
        <v>29</v>
      </c>
      <c r="E3" s="176"/>
      <c r="F3" s="172"/>
      <c r="G3" s="88" t="s">
        <v>27</v>
      </c>
      <c r="H3" s="88" t="s">
        <v>28</v>
      </c>
      <c r="I3" s="88" t="s">
        <v>29</v>
      </c>
      <c r="K3" s="160"/>
      <c r="L3" s="88" t="s">
        <v>27</v>
      </c>
      <c r="M3" s="88" t="s">
        <v>28</v>
      </c>
      <c r="N3" s="98" t="s">
        <v>29</v>
      </c>
      <c r="P3" s="168"/>
      <c r="Q3" s="184"/>
    </row>
    <row r="4" spans="1:17" x14ac:dyDescent="0.25">
      <c r="A4" s="89">
        <v>44652</v>
      </c>
      <c r="B4" s="90">
        <v>11770.29</v>
      </c>
      <c r="C4" s="90">
        <v>12008.07</v>
      </c>
      <c r="D4" s="108">
        <v>11889.18</v>
      </c>
      <c r="E4" s="176"/>
      <c r="F4" s="89">
        <v>44652</v>
      </c>
      <c r="G4" s="90">
        <v>13014.07</v>
      </c>
      <c r="H4" s="90">
        <v>13273.2</v>
      </c>
      <c r="I4" s="90">
        <v>13143.63</v>
      </c>
      <c r="K4" s="89">
        <v>44652</v>
      </c>
      <c r="L4" s="90">
        <v>15443.8</v>
      </c>
      <c r="M4" s="90">
        <v>15760.59</v>
      </c>
      <c r="N4" s="99">
        <v>15602.19</v>
      </c>
      <c r="P4" s="89">
        <v>44652</v>
      </c>
      <c r="Q4" s="108">
        <v>16435.14</v>
      </c>
    </row>
    <row r="5" spans="1:17" x14ac:dyDescent="0.25">
      <c r="A5" s="89">
        <v>44655</v>
      </c>
      <c r="B5" s="90">
        <v>11770.29</v>
      </c>
      <c r="C5" s="90">
        <v>12008.07</v>
      </c>
      <c r="D5" s="108">
        <v>11889.18</v>
      </c>
      <c r="E5" s="176"/>
      <c r="F5" s="89">
        <v>44655</v>
      </c>
      <c r="G5" s="90">
        <v>13001.09</v>
      </c>
      <c r="H5" s="90">
        <v>13262.99</v>
      </c>
      <c r="I5" s="90">
        <v>13132.04</v>
      </c>
      <c r="K5" s="89">
        <v>44655</v>
      </c>
      <c r="L5" s="90">
        <v>15454.39</v>
      </c>
      <c r="M5" s="90">
        <v>15775</v>
      </c>
      <c r="N5" s="99">
        <v>15614.7</v>
      </c>
      <c r="P5" s="89">
        <v>44655</v>
      </c>
      <c r="Q5" s="108">
        <v>16412.45</v>
      </c>
    </row>
    <row r="6" spans="1:17" x14ac:dyDescent="0.25">
      <c r="A6" s="89">
        <v>44656</v>
      </c>
      <c r="B6" s="90">
        <v>11770.29</v>
      </c>
      <c r="C6" s="90">
        <v>12008.07</v>
      </c>
      <c r="D6" s="108">
        <v>11889.18</v>
      </c>
      <c r="E6" s="176"/>
      <c r="F6" s="89">
        <v>44656</v>
      </c>
      <c r="G6" s="90">
        <v>12913.76</v>
      </c>
      <c r="H6" s="90">
        <v>13176.06</v>
      </c>
      <c r="I6" s="90">
        <v>13044.91</v>
      </c>
      <c r="K6" s="89">
        <v>44656</v>
      </c>
      <c r="L6" s="90">
        <v>15446.15</v>
      </c>
      <c r="M6" s="90">
        <v>15767.8</v>
      </c>
      <c r="N6" s="99">
        <v>15606.97</v>
      </c>
      <c r="P6" s="89">
        <v>44656</v>
      </c>
      <c r="Q6" s="108">
        <v>16371.77</v>
      </c>
    </row>
    <row r="7" spans="1:17" x14ac:dyDescent="0.25">
      <c r="A7" s="89">
        <v>44657</v>
      </c>
      <c r="B7" s="90">
        <v>11770.29</v>
      </c>
      <c r="C7" s="90">
        <v>12008.07</v>
      </c>
      <c r="D7" s="108">
        <v>11889.18</v>
      </c>
      <c r="E7" s="176"/>
      <c r="F7" s="89">
        <v>44657</v>
      </c>
      <c r="G7" s="90">
        <v>12818.91</v>
      </c>
      <c r="H7" s="90">
        <v>13073.43</v>
      </c>
      <c r="I7" s="90">
        <v>12946.17</v>
      </c>
      <c r="K7" s="89">
        <v>44657</v>
      </c>
      <c r="L7" s="90">
        <v>15381.41</v>
      </c>
      <c r="M7" s="90">
        <v>15693.35</v>
      </c>
      <c r="N7" s="99">
        <v>15537.38</v>
      </c>
      <c r="P7" s="89">
        <v>44657</v>
      </c>
      <c r="Q7" s="108">
        <v>16360.51</v>
      </c>
    </row>
    <row r="8" spans="1:17" x14ac:dyDescent="0.25">
      <c r="A8" s="89">
        <v>44658</v>
      </c>
      <c r="B8" s="90">
        <v>12025.86</v>
      </c>
      <c r="C8" s="90">
        <v>12268.81</v>
      </c>
      <c r="D8" s="108">
        <v>12147.34</v>
      </c>
      <c r="E8" s="176"/>
      <c r="F8" s="89">
        <v>44658</v>
      </c>
      <c r="G8" s="90">
        <v>13132.99</v>
      </c>
      <c r="H8" s="90">
        <v>13393.46</v>
      </c>
      <c r="I8" s="90">
        <v>13263.22</v>
      </c>
      <c r="K8" s="89">
        <v>44658</v>
      </c>
      <c r="L8" s="90">
        <v>15734.64</v>
      </c>
      <c r="M8" s="90">
        <v>16057.42</v>
      </c>
      <c r="N8" s="99">
        <v>15896.03</v>
      </c>
      <c r="P8" s="89">
        <v>44658</v>
      </c>
      <c r="Q8" s="108">
        <v>16674.45</v>
      </c>
    </row>
    <row r="9" spans="1:17" x14ac:dyDescent="0.25">
      <c r="A9" s="89">
        <v>44659</v>
      </c>
      <c r="B9" s="90">
        <v>12025.86</v>
      </c>
      <c r="C9" s="90">
        <v>12268.81</v>
      </c>
      <c r="D9" s="108">
        <v>12147.34</v>
      </c>
      <c r="E9" s="176"/>
      <c r="F9" s="89">
        <v>44659</v>
      </c>
      <c r="G9" s="90">
        <v>13081.43</v>
      </c>
      <c r="H9" s="90">
        <v>13341.08</v>
      </c>
      <c r="I9" s="90">
        <v>13211.25</v>
      </c>
      <c r="K9" s="89">
        <v>44659</v>
      </c>
      <c r="L9" s="90">
        <v>15708.18</v>
      </c>
      <c r="M9" s="90">
        <v>16027.97</v>
      </c>
      <c r="N9" s="99">
        <v>15868.08</v>
      </c>
      <c r="P9" s="89">
        <v>44659</v>
      </c>
      <c r="Q9" s="108">
        <v>16667.59</v>
      </c>
    </row>
    <row r="10" spans="1:17" x14ac:dyDescent="0.25">
      <c r="A10" s="89">
        <v>44662</v>
      </c>
      <c r="B10" s="90">
        <v>12025.86</v>
      </c>
      <c r="C10" s="90">
        <v>12268.81</v>
      </c>
      <c r="D10" s="108">
        <v>12147.34</v>
      </c>
      <c r="E10" s="176"/>
      <c r="F10" s="89">
        <v>44662</v>
      </c>
      <c r="G10" s="90">
        <v>13088.54</v>
      </c>
      <c r="H10" s="90">
        <v>13348.12</v>
      </c>
      <c r="I10" s="90">
        <v>13218.33</v>
      </c>
      <c r="K10" s="89">
        <v>44662</v>
      </c>
      <c r="L10" s="90">
        <v>15626.4</v>
      </c>
      <c r="M10" s="90">
        <v>15947</v>
      </c>
      <c r="N10" s="99">
        <v>15786.7</v>
      </c>
      <c r="P10" s="89">
        <v>44662</v>
      </c>
      <c r="Q10" s="108">
        <v>16656.16</v>
      </c>
    </row>
    <row r="11" spans="1:17" x14ac:dyDescent="0.25">
      <c r="A11" s="89">
        <v>44663</v>
      </c>
      <c r="B11" s="90">
        <v>12025.86</v>
      </c>
      <c r="C11" s="90">
        <v>12268.81</v>
      </c>
      <c r="D11" s="108">
        <v>12147.34</v>
      </c>
      <c r="E11" s="176"/>
      <c r="F11" s="89">
        <v>44663</v>
      </c>
      <c r="G11" s="90">
        <v>13069.62</v>
      </c>
      <c r="H11" s="90">
        <v>13326.89</v>
      </c>
      <c r="I11" s="90">
        <v>13198.26</v>
      </c>
      <c r="K11" s="89">
        <v>44663</v>
      </c>
      <c r="L11" s="90">
        <v>15645.64</v>
      </c>
      <c r="M11" s="90">
        <v>15962.95</v>
      </c>
      <c r="N11" s="99">
        <v>15804.3</v>
      </c>
      <c r="P11" s="89">
        <v>44663</v>
      </c>
      <c r="Q11" s="108">
        <v>16653.88</v>
      </c>
    </row>
    <row r="12" spans="1:17" x14ac:dyDescent="0.25">
      <c r="A12" s="89">
        <v>44664</v>
      </c>
      <c r="B12" s="90">
        <v>12025.86</v>
      </c>
      <c r="C12" s="90">
        <v>12268.81</v>
      </c>
      <c r="D12" s="108">
        <v>12147.34</v>
      </c>
      <c r="E12" s="176"/>
      <c r="F12" s="89">
        <v>44664</v>
      </c>
      <c r="G12" s="90">
        <v>13026.51</v>
      </c>
      <c r="H12" s="90">
        <v>13291.3</v>
      </c>
      <c r="I12" s="90">
        <v>13158.9</v>
      </c>
      <c r="K12" s="89">
        <v>44664</v>
      </c>
      <c r="L12" s="90">
        <v>15624</v>
      </c>
      <c r="M12" s="90">
        <v>15948.23</v>
      </c>
      <c r="N12" s="99">
        <v>15786.11</v>
      </c>
      <c r="P12" s="89">
        <v>44664</v>
      </c>
      <c r="Q12" s="108">
        <v>16628.8</v>
      </c>
    </row>
    <row r="13" spans="1:17" x14ac:dyDescent="0.25">
      <c r="A13" s="89">
        <v>44665</v>
      </c>
      <c r="B13" s="90">
        <v>12237.25</v>
      </c>
      <c r="C13" s="90">
        <v>12484.47</v>
      </c>
      <c r="D13" s="108">
        <v>12360.86</v>
      </c>
      <c r="E13" s="176"/>
      <c r="F13" s="89">
        <v>44665</v>
      </c>
      <c r="G13" s="90">
        <v>13362.95</v>
      </c>
      <c r="H13" s="90">
        <v>13628</v>
      </c>
      <c r="I13" s="90">
        <v>13495.47</v>
      </c>
      <c r="K13" s="89">
        <v>44665</v>
      </c>
      <c r="L13" s="90">
        <v>16080.97</v>
      </c>
      <c r="M13" s="90">
        <v>16410.84</v>
      </c>
      <c r="N13" s="99">
        <v>16245.9</v>
      </c>
      <c r="P13" s="89">
        <v>44665</v>
      </c>
      <c r="Q13" s="108">
        <v>16897.96</v>
      </c>
    </row>
    <row r="14" spans="1:17" x14ac:dyDescent="0.25">
      <c r="A14" s="89">
        <v>44666</v>
      </c>
      <c r="B14" s="191" t="s">
        <v>39</v>
      </c>
      <c r="C14" s="192"/>
      <c r="D14" s="193"/>
      <c r="E14" s="176"/>
      <c r="F14" s="89">
        <v>44666</v>
      </c>
      <c r="G14" s="185" t="s">
        <v>39</v>
      </c>
      <c r="H14" s="186"/>
      <c r="I14" s="187"/>
      <c r="K14" s="89">
        <v>44666</v>
      </c>
      <c r="L14" s="188" t="s">
        <v>39</v>
      </c>
      <c r="M14" s="189"/>
      <c r="N14" s="190"/>
      <c r="P14" s="89">
        <v>44666</v>
      </c>
      <c r="Q14" s="111" t="s">
        <v>41</v>
      </c>
    </row>
    <row r="15" spans="1:17" x14ac:dyDescent="0.25">
      <c r="A15" s="89">
        <v>44669</v>
      </c>
      <c r="B15" s="191" t="s">
        <v>39</v>
      </c>
      <c r="C15" s="192"/>
      <c r="D15" s="193"/>
      <c r="E15" s="176"/>
      <c r="F15" s="89">
        <v>44669</v>
      </c>
      <c r="G15" s="185" t="s">
        <v>39</v>
      </c>
      <c r="H15" s="186"/>
      <c r="I15" s="187"/>
      <c r="K15" s="89">
        <v>44669</v>
      </c>
      <c r="L15" s="188" t="s">
        <v>39</v>
      </c>
      <c r="M15" s="189"/>
      <c r="N15" s="190"/>
      <c r="P15" s="89">
        <v>44669</v>
      </c>
      <c r="Q15" s="111" t="s">
        <v>41</v>
      </c>
    </row>
    <row r="16" spans="1:17" x14ac:dyDescent="0.25">
      <c r="A16" s="89">
        <v>44670</v>
      </c>
      <c r="B16" s="90">
        <v>12237.25</v>
      </c>
      <c r="C16" s="90">
        <v>12484.47</v>
      </c>
      <c r="D16" s="108">
        <v>12360.86</v>
      </c>
      <c r="E16" s="176"/>
      <c r="F16" s="89">
        <v>44670</v>
      </c>
      <c r="G16" s="90">
        <v>13195.12</v>
      </c>
      <c r="H16" s="90">
        <v>13457.07</v>
      </c>
      <c r="I16" s="90">
        <v>13326.1</v>
      </c>
      <c r="K16" s="89">
        <v>44670</v>
      </c>
      <c r="L16" s="90">
        <v>15913.32</v>
      </c>
      <c r="M16" s="90">
        <v>16237.3</v>
      </c>
      <c r="N16" s="99">
        <v>16075.31</v>
      </c>
      <c r="P16" s="89">
        <v>44670</v>
      </c>
      <c r="Q16" s="108">
        <v>16881.810000000001</v>
      </c>
    </row>
    <row r="17" spans="1:17" x14ac:dyDescent="0.25">
      <c r="A17" s="89">
        <v>44671</v>
      </c>
      <c r="B17" s="90">
        <v>12237.25</v>
      </c>
      <c r="C17" s="90">
        <v>12484.47</v>
      </c>
      <c r="D17" s="108">
        <v>12360.86</v>
      </c>
      <c r="E17" s="176"/>
      <c r="F17" s="89">
        <v>44671</v>
      </c>
      <c r="G17" s="90">
        <v>13234.59</v>
      </c>
      <c r="H17" s="90">
        <v>13497.31</v>
      </c>
      <c r="I17" s="90">
        <v>13365.95</v>
      </c>
      <c r="K17" s="89">
        <v>44671</v>
      </c>
      <c r="L17" s="90">
        <v>15946.36</v>
      </c>
      <c r="M17" s="90">
        <v>16271.01</v>
      </c>
      <c r="N17" s="99">
        <v>16108.69</v>
      </c>
      <c r="P17" s="89">
        <v>44671</v>
      </c>
      <c r="Q17" s="108">
        <v>16854.189999999999</v>
      </c>
    </row>
    <row r="18" spans="1:17" x14ac:dyDescent="0.25">
      <c r="A18" s="89">
        <v>44672</v>
      </c>
      <c r="B18" s="90">
        <v>12313.09</v>
      </c>
      <c r="C18" s="90">
        <v>12561.84</v>
      </c>
      <c r="D18" s="108">
        <v>12437.46</v>
      </c>
      <c r="E18" s="176"/>
      <c r="F18" s="89">
        <v>44672</v>
      </c>
      <c r="G18" s="90">
        <v>13416.14</v>
      </c>
      <c r="H18" s="90">
        <v>13683.38</v>
      </c>
      <c r="I18" s="90">
        <v>13549.76</v>
      </c>
      <c r="K18" s="89">
        <v>44672</v>
      </c>
      <c r="L18" s="90">
        <v>16099.37</v>
      </c>
      <c r="M18" s="90">
        <v>16429.63</v>
      </c>
      <c r="N18" s="99">
        <v>16264.5</v>
      </c>
      <c r="P18" s="89">
        <v>44672</v>
      </c>
      <c r="Q18" s="108">
        <v>16986.419999999998</v>
      </c>
    </row>
    <row r="19" spans="1:17" x14ac:dyDescent="0.25">
      <c r="A19" s="89">
        <v>44673</v>
      </c>
      <c r="B19" s="90">
        <v>12313.09</v>
      </c>
      <c r="C19" s="90">
        <v>12561.84</v>
      </c>
      <c r="D19" s="108">
        <v>12437.46</v>
      </c>
      <c r="E19" s="176"/>
      <c r="F19" s="89">
        <v>44673</v>
      </c>
      <c r="G19" s="90">
        <v>13416.14</v>
      </c>
      <c r="H19" s="90">
        <v>13683.38</v>
      </c>
      <c r="I19" s="90">
        <v>13549.76</v>
      </c>
      <c r="K19" s="89">
        <v>44673</v>
      </c>
      <c r="L19" s="90">
        <v>16099.37</v>
      </c>
      <c r="M19" s="90">
        <v>16429.63</v>
      </c>
      <c r="N19" s="99">
        <v>16264.5</v>
      </c>
      <c r="P19" s="89">
        <v>44673</v>
      </c>
      <c r="Q19" s="108">
        <v>16995.71</v>
      </c>
    </row>
    <row r="20" spans="1:17" x14ac:dyDescent="0.25">
      <c r="A20" s="89">
        <v>44676</v>
      </c>
      <c r="B20" s="90">
        <v>12313.09</v>
      </c>
      <c r="C20" s="90">
        <v>12561.84</v>
      </c>
      <c r="D20" s="108">
        <v>12437.46</v>
      </c>
      <c r="E20" s="176"/>
      <c r="F20" s="89">
        <v>44676</v>
      </c>
      <c r="G20" s="90">
        <v>13316.61</v>
      </c>
      <c r="H20" s="90">
        <v>13580.96</v>
      </c>
      <c r="I20" s="90">
        <v>13448.79</v>
      </c>
      <c r="K20" s="89">
        <v>44676</v>
      </c>
      <c r="L20" s="90">
        <v>16045.19</v>
      </c>
      <c r="M20" s="90">
        <v>16371.85</v>
      </c>
      <c r="N20" s="99">
        <v>16208.52</v>
      </c>
      <c r="P20" s="89">
        <v>44676</v>
      </c>
      <c r="Q20" s="108">
        <v>16917.11</v>
      </c>
    </row>
    <row r="21" spans="1:17" x14ac:dyDescent="0.25">
      <c r="A21" s="89">
        <v>44677</v>
      </c>
      <c r="B21" s="90">
        <v>12313.09</v>
      </c>
      <c r="C21" s="90">
        <v>12561.84</v>
      </c>
      <c r="D21" s="108">
        <v>12437.46</v>
      </c>
      <c r="E21" s="176"/>
      <c r="F21" s="89">
        <v>44677</v>
      </c>
      <c r="G21" s="90">
        <v>13316.61</v>
      </c>
      <c r="H21" s="90">
        <v>13580.96</v>
      </c>
      <c r="I21" s="90">
        <v>13448.79</v>
      </c>
      <c r="K21" s="89">
        <v>44677</v>
      </c>
      <c r="L21" s="90">
        <v>16045.19</v>
      </c>
      <c r="M21" s="90">
        <v>16371.85</v>
      </c>
      <c r="N21" s="99">
        <v>16208.52</v>
      </c>
      <c r="P21" s="89">
        <v>44677</v>
      </c>
      <c r="Q21" s="108">
        <v>16832.400000000001</v>
      </c>
    </row>
    <row r="22" spans="1:17" x14ac:dyDescent="0.25">
      <c r="A22" s="89">
        <v>44678</v>
      </c>
      <c r="B22" s="191" t="s">
        <v>39</v>
      </c>
      <c r="C22" s="192"/>
      <c r="D22" s="193"/>
      <c r="E22" s="176"/>
      <c r="F22" s="89">
        <v>44678</v>
      </c>
      <c r="G22" s="185" t="s">
        <v>39</v>
      </c>
      <c r="H22" s="186"/>
      <c r="I22" s="187"/>
      <c r="K22" s="89">
        <v>44678</v>
      </c>
      <c r="L22" s="188" t="s">
        <v>39</v>
      </c>
      <c r="M22" s="189"/>
      <c r="N22" s="190"/>
      <c r="P22" s="89">
        <v>44678</v>
      </c>
      <c r="Q22" s="111" t="s">
        <v>41</v>
      </c>
    </row>
    <row r="23" spans="1:17" x14ac:dyDescent="0.25">
      <c r="A23" s="89">
        <v>44679</v>
      </c>
      <c r="B23" s="90">
        <v>12470.27</v>
      </c>
      <c r="C23" s="90">
        <v>12722.19</v>
      </c>
      <c r="D23" s="108">
        <v>12596.23</v>
      </c>
      <c r="E23" s="176"/>
      <c r="F23" s="89">
        <v>44679</v>
      </c>
      <c r="G23" s="90">
        <v>13486.6</v>
      </c>
      <c r="H23" s="90">
        <v>13754.32</v>
      </c>
      <c r="I23" s="90">
        <v>13620.46</v>
      </c>
      <c r="K23" s="89">
        <v>44679</v>
      </c>
      <c r="L23" s="90">
        <v>16250.01</v>
      </c>
      <c r="M23" s="90">
        <v>16580.830000000002</v>
      </c>
      <c r="N23" s="99">
        <v>16415.419999999998</v>
      </c>
      <c r="P23" s="89">
        <v>44679</v>
      </c>
      <c r="Q23" s="108">
        <v>16987.5</v>
      </c>
    </row>
    <row r="24" spans="1:17" x14ac:dyDescent="0.25">
      <c r="A24" s="89">
        <v>44680</v>
      </c>
      <c r="B24" s="90">
        <v>12470.27</v>
      </c>
      <c r="C24" s="90">
        <v>12722.19</v>
      </c>
      <c r="D24" s="108">
        <v>12596.23</v>
      </c>
      <c r="E24" s="176"/>
      <c r="F24" s="89">
        <v>44680</v>
      </c>
      <c r="G24" s="90">
        <v>13486.6</v>
      </c>
      <c r="H24" s="90">
        <v>13754.32</v>
      </c>
      <c r="I24" s="90">
        <v>13620.46</v>
      </c>
      <c r="K24" s="89">
        <v>44680</v>
      </c>
      <c r="L24" s="90">
        <v>16250.01</v>
      </c>
      <c r="M24" s="90">
        <v>16580.830000000002</v>
      </c>
      <c r="N24" s="99">
        <v>16415.419999999998</v>
      </c>
      <c r="P24" s="89">
        <v>44680</v>
      </c>
      <c r="Q24" s="108">
        <v>16878.240000000002</v>
      </c>
    </row>
    <row r="25" spans="1:17" x14ac:dyDescent="0.25">
      <c r="A25" s="94" t="s">
        <v>31</v>
      </c>
      <c r="B25" s="95">
        <f>AVERAGE(B4:B24)</f>
        <v>12117.50611111111</v>
      </c>
      <c r="C25" s="95">
        <f t="shared" ref="C25:D25" si="0">AVERAGE(C4:C24)</f>
        <v>12362.304444444444</v>
      </c>
      <c r="D25" s="95">
        <f t="shared" si="0"/>
        <v>12239.905555555555</v>
      </c>
      <c r="E25" s="176"/>
      <c r="F25" s="88" t="s">
        <v>31</v>
      </c>
      <c r="G25" s="95">
        <f>AVERAGE(G4:G24)</f>
        <v>13187.68222222222</v>
      </c>
      <c r="H25" s="95">
        <f t="shared" ref="H25:I25" si="1">AVERAGE(H4:H24)</f>
        <v>13450.346111111112</v>
      </c>
      <c r="I25" s="95">
        <f t="shared" si="1"/>
        <v>13319.013888888891</v>
      </c>
      <c r="K25" s="88" t="s">
        <v>31</v>
      </c>
      <c r="L25" s="95">
        <f>AVERAGE(L4:L24)</f>
        <v>15821.911111111112</v>
      </c>
      <c r="M25" s="95">
        <f t="shared" ref="M25:N25" si="2">AVERAGE(M4:M24)</f>
        <v>16145.782222222224</v>
      </c>
      <c r="N25" s="95">
        <f t="shared" si="2"/>
        <v>15983.846666666666</v>
      </c>
      <c r="P25" s="88" t="s">
        <v>31</v>
      </c>
      <c r="Q25" s="110">
        <f>AVERAGE(Q4:Q24)</f>
        <v>16727.338333333333</v>
      </c>
    </row>
    <row r="27" spans="1:17" x14ac:dyDescent="0.25">
      <c r="A27" s="45" t="s">
        <v>12</v>
      </c>
      <c r="K27" s="45" t="s">
        <v>12</v>
      </c>
    </row>
    <row r="28" spans="1:17" x14ac:dyDescent="0.25">
      <c r="A28" s="45" t="s">
        <v>13</v>
      </c>
      <c r="K28" s="45" t="s">
        <v>13</v>
      </c>
    </row>
    <row r="29" spans="1:17" x14ac:dyDescent="0.25">
      <c r="A29" s="45" t="s">
        <v>14</v>
      </c>
      <c r="K29" s="45" t="s">
        <v>14</v>
      </c>
    </row>
  </sheetData>
  <mergeCells count="21">
    <mergeCell ref="G22:I22"/>
    <mergeCell ref="K2:K3"/>
    <mergeCell ref="L2:N2"/>
    <mergeCell ref="L14:N14"/>
    <mergeCell ref="L15:N15"/>
    <mergeCell ref="L22:N22"/>
    <mergeCell ref="G2:I2"/>
    <mergeCell ref="G14:I14"/>
    <mergeCell ref="G15:I15"/>
    <mergeCell ref="P2:P3"/>
    <mergeCell ref="Q2:Q3"/>
    <mergeCell ref="A1:D1"/>
    <mergeCell ref="F1:I1"/>
    <mergeCell ref="K1:N1"/>
    <mergeCell ref="A2:A3"/>
    <mergeCell ref="B2:D2"/>
    <mergeCell ref="E2:E25"/>
    <mergeCell ref="F2:F3"/>
    <mergeCell ref="B14:D14"/>
    <mergeCell ref="B15:D15"/>
    <mergeCell ref="B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sqref="A1:XFD1"/>
    </sheetView>
  </sheetViews>
  <sheetFormatPr defaultRowHeight="15" x14ac:dyDescent="0.25"/>
  <cols>
    <col min="1" max="1" width="13.28515625" customWidth="1"/>
    <col min="2" max="4" width="11.5703125" customWidth="1"/>
    <col min="5" max="5" width="9.140625" customWidth="1"/>
    <col min="6" max="6" width="13.28515625" customWidth="1"/>
    <col min="7" max="7" width="12.7109375" customWidth="1"/>
    <col min="8" max="8" width="13" customWidth="1"/>
    <col min="9" max="9" width="12.7109375" customWidth="1"/>
    <col min="11" max="11" width="14.85546875" customWidth="1"/>
    <col min="12" max="12" width="13" customWidth="1"/>
    <col min="13" max="13" width="13.140625" customWidth="1"/>
    <col min="14" max="14" width="13" customWidth="1"/>
    <col min="16" max="16" width="15.42578125" customWidth="1"/>
    <col min="17" max="17" width="15.5703125" customWidth="1"/>
  </cols>
  <sheetData>
    <row r="1" spans="1:17" s="51" customFormat="1" ht="15.75" thickBot="1" x14ac:dyDescent="0.3">
      <c r="A1" s="155" t="s">
        <v>47</v>
      </c>
      <c r="B1" s="155"/>
      <c r="C1" s="155"/>
      <c r="D1" s="155"/>
      <c r="F1" s="155" t="s">
        <v>47</v>
      </c>
      <c r="G1" s="155"/>
      <c r="H1" s="155"/>
      <c r="I1" s="155"/>
      <c r="K1" s="155" t="s">
        <v>48</v>
      </c>
      <c r="L1" s="155"/>
      <c r="M1" s="155"/>
      <c r="N1" s="155"/>
      <c r="P1" s="47" t="s">
        <v>49</v>
      </c>
      <c r="Q1" s="17"/>
    </row>
    <row r="2" spans="1:17" ht="15" customHeight="1" x14ac:dyDescent="0.25">
      <c r="A2" s="171" t="s">
        <v>24</v>
      </c>
      <c r="B2" s="173" t="s">
        <v>25</v>
      </c>
      <c r="C2" s="174"/>
      <c r="D2" s="175"/>
      <c r="E2" s="176"/>
      <c r="F2" s="171" t="s">
        <v>24</v>
      </c>
      <c r="G2" s="177" t="s">
        <v>26</v>
      </c>
      <c r="H2" s="178"/>
      <c r="I2" s="179"/>
      <c r="K2" s="159" t="s">
        <v>24</v>
      </c>
      <c r="L2" s="194" t="s">
        <v>33</v>
      </c>
      <c r="M2" s="195"/>
      <c r="N2" s="196"/>
      <c r="P2" s="200" t="s">
        <v>34</v>
      </c>
      <c r="Q2" s="202" t="s">
        <v>35</v>
      </c>
    </row>
    <row r="3" spans="1:17" x14ac:dyDescent="0.25">
      <c r="A3" s="172"/>
      <c r="B3" s="88" t="s">
        <v>27</v>
      </c>
      <c r="C3" s="88" t="s">
        <v>28</v>
      </c>
      <c r="D3" s="88" t="s">
        <v>29</v>
      </c>
      <c r="E3" s="176"/>
      <c r="F3" s="172"/>
      <c r="G3" s="88" t="s">
        <v>27</v>
      </c>
      <c r="H3" s="88" t="s">
        <v>28</v>
      </c>
      <c r="I3" s="101" t="s">
        <v>29</v>
      </c>
      <c r="K3" s="160"/>
      <c r="L3" s="88" t="s">
        <v>27</v>
      </c>
      <c r="M3" s="88" t="s">
        <v>28</v>
      </c>
      <c r="N3" s="88" t="s">
        <v>29</v>
      </c>
      <c r="P3" s="201"/>
      <c r="Q3" s="203"/>
    </row>
    <row r="4" spans="1:17" ht="15.75" x14ac:dyDescent="0.25">
      <c r="A4" s="112">
        <v>44683</v>
      </c>
      <c r="B4" s="161" t="s">
        <v>30</v>
      </c>
      <c r="C4" s="162"/>
      <c r="D4" s="163"/>
      <c r="E4" s="176"/>
      <c r="F4" s="113">
        <v>44683</v>
      </c>
      <c r="G4" s="197" t="s">
        <v>30</v>
      </c>
      <c r="H4" s="198"/>
      <c r="I4" s="199"/>
      <c r="K4" s="112">
        <v>44683</v>
      </c>
      <c r="L4" s="197" t="s">
        <v>30</v>
      </c>
      <c r="M4" s="198"/>
      <c r="N4" s="199"/>
      <c r="P4" s="112">
        <v>44683</v>
      </c>
      <c r="Q4" s="98" t="s">
        <v>36</v>
      </c>
    </row>
    <row r="5" spans="1:17" ht="15.75" x14ac:dyDescent="0.25">
      <c r="A5" s="114">
        <v>44684</v>
      </c>
      <c r="B5" s="90">
        <v>12470.27</v>
      </c>
      <c r="C5" s="90">
        <v>12722.19</v>
      </c>
      <c r="D5" s="90">
        <v>12596.23</v>
      </c>
      <c r="E5" s="176"/>
      <c r="F5" s="115">
        <v>44684</v>
      </c>
      <c r="G5" s="90">
        <v>13110.31</v>
      </c>
      <c r="H5" s="90">
        <v>13373.76</v>
      </c>
      <c r="I5" s="108">
        <v>13242.03</v>
      </c>
      <c r="K5" s="114">
        <v>44684</v>
      </c>
      <c r="L5" s="90">
        <v>15632.73</v>
      </c>
      <c r="M5" s="90">
        <v>15954.9</v>
      </c>
      <c r="N5" s="90">
        <v>15793.81</v>
      </c>
      <c r="P5" s="114">
        <v>44684</v>
      </c>
      <c r="Q5" s="99">
        <v>16900.89</v>
      </c>
    </row>
    <row r="6" spans="1:17" ht="15.75" x14ac:dyDescent="0.25">
      <c r="A6" s="114">
        <v>44685</v>
      </c>
      <c r="B6" s="90">
        <v>12470.27</v>
      </c>
      <c r="C6" s="90">
        <v>12722.19</v>
      </c>
      <c r="D6" s="90">
        <v>12596.23</v>
      </c>
      <c r="E6" s="176"/>
      <c r="F6" s="115">
        <v>44685</v>
      </c>
      <c r="G6" s="90">
        <v>13116.71</v>
      </c>
      <c r="H6" s="90">
        <v>13379.39</v>
      </c>
      <c r="I6" s="108">
        <v>13248.05</v>
      </c>
      <c r="K6" s="114">
        <v>44685</v>
      </c>
      <c r="L6" s="90">
        <v>15586.59</v>
      </c>
      <c r="M6" s="90">
        <v>15902.74</v>
      </c>
      <c r="N6" s="90">
        <v>15744.66</v>
      </c>
      <c r="P6" s="114">
        <v>44685</v>
      </c>
      <c r="Q6" s="99">
        <v>16875.98</v>
      </c>
    </row>
    <row r="7" spans="1:17" ht="15.75" x14ac:dyDescent="0.25">
      <c r="A7" s="114">
        <v>44686</v>
      </c>
      <c r="B7" s="90">
        <v>12579.44</v>
      </c>
      <c r="C7" s="90">
        <v>12833.57</v>
      </c>
      <c r="D7" s="90">
        <v>12706.5</v>
      </c>
      <c r="E7" s="176"/>
      <c r="F7" s="115">
        <v>44686</v>
      </c>
      <c r="G7" s="90">
        <v>13326.79</v>
      </c>
      <c r="H7" s="90">
        <v>13593.46</v>
      </c>
      <c r="I7" s="108">
        <v>13460.12</v>
      </c>
      <c r="K7" s="114">
        <v>44686</v>
      </c>
      <c r="L7" s="90">
        <v>15769.59</v>
      </c>
      <c r="M7" s="90">
        <v>16093.3</v>
      </c>
      <c r="N7" s="90">
        <v>15931.44</v>
      </c>
      <c r="P7" s="114">
        <v>44686</v>
      </c>
      <c r="Q7" s="99">
        <v>17046.55</v>
      </c>
    </row>
    <row r="8" spans="1:17" ht="15.75" x14ac:dyDescent="0.25">
      <c r="A8" s="114">
        <v>44687</v>
      </c>
      <c r="B8" s="90">
        <v>12579.44</v>
      </c>
      <c r="C8" s="90">
        <v>12833.57</v>
      </c>
      <c r="D8" s="90">
        <v>12706.5</v>
      </c>
      <c r="E8" s="176"/>
      <c r="F8" s="115">
        <v>44687</v>
      </c>
      <c r="G8" s="90">
        <v>13206.1</v>
      </c>
      <c r="H8" s="90">
        <v>13470.38</v>
      </c>
      <c r="I8" s="108">
        <v>13338.24</v>
      </c>
      <c r="K8" s="114">
        <v>44687</v>
      </c>
      <c r="L8" s="90">
        <v>15481.52</v>
      </c>
      <c r="M8" s="90">
        <v>15799.41</v>
      </c>
      <c r="N8" s="90">
        <v>15640.46</v>
      </c>
      <c r="P8" s="114">
        <v>44687</v>
      </c>
      <c r="Q8" s="99">
        <v>17092.41</v>
      </c>
    </row>
    <row r="9" spans="1:17" ht="15.75" x14ac:dyDescent="0.25">
      <c r="A9" s="114">
        <v>44690</v>
      </c>
      <c r="B9" s="90">
        <v>12579.44</v>
      </c>
      <c r="C9" s="90">
        <v>12833.57</v>
      </c>
      <c r="D9" s="90">
        <v>12706.5</v>
      </c>
      <c r="E9" s="176"/>
      <c r="F9" s="115">
        <v>44690</v>
      </c>
      <c r="G9" s="90">
        <v>13232.96</v>
      </c>
      <c r="H9" s="90">
        <v>13495.56</v>
      </c>
      <c r="I9" s="108">
        <v>13364.26</v>
      </c>
      <c r="K9" s="114">
        <v>44690</v>
      </c>
      <c r="L9" s="90">
        <v>15461.39</v>
      </c>
      <c r="M9" s="90">
        <v>15776.31</v>
      </c>
      <c r="N9" s="90">
        <v>15618.85</v>
      </c>
      <c r="P9" s="114">
        <v>44690</v>
      </c>
      <c r="Q9" s="99">
        <v>17044.27</v>
      </c>
    </row>
    <row r="10" spans="1:17" ht="15.75" x14ac:dyDescent="0.25">
      <c r="A10" s="114">
        <v>44691</v>
      </c>
      <c r="B10" s="90">
        <v>12579.44</v>
      </c>
      <c r="C10" s="90">
        <v>12833.57</v>
      </c>
      <c r="D10" s="90">
        <v>12706.5</v>
      </c>
      <c r="E10" s="176"/>
      <c r="F10" s="115">
        <v>44691</v>
      </c>
      <c r="G10" s="90">
        <v>13289.67</v>
      </c>
      <c r="H10" s="90">
        <v>13557.9</v>
      </c>
      <c r="I10" s="108">
        <v>13423.79</v>
      </c>
      <c r="K10" s="114">
        <v>44691</v>
      </c>
      <c r="L10" s="90">
        <v>15511.71</v>
      </c>
      <c r="M10" s="90">
        <v>15830.21</v>
      </c>
      <c r="N10" s="90">
        <v>15670.96</v>
      </c>
      <c r="P10" s="114">
        <v>44691</v>
      </c>
      <c r="Q10" s="99">
        <v>16994.12</v>
      </c>
    </row>
    <row r="11" spans="1:17" ht="15.75" x14ac:dyDescent="0.25">
      <c r="A11" s="114">
        <v>44692</v>
      </c>
      <c r="B11" s="90">
        <v>12579.44</v>
      </c>
      <c r="C11" s="90">
        <v>12833.57</v>
      </c>
      <c r="D11" s="90">
        <v>12706.5</v>
      </c>
      <c r="E11" s="176"/>
      <c r="F11" s="115">
        <v>44692</v>
      </c>
      <c r="G11" s="90">
        <v>13276.32</v>
      </c>
      <c r="H11" s="90">
        <v>13540.75</v>
      </c>
      <c r="I11" s="108">
        <v>13408.54</v>
      </c>
      <c r="K11" s="114">
        <v>44692</v>
      </c>
      <c r="L11" s="90">
        <v>15505.42</v>
      </c>
      <c r="M11" s="90">
        <v>15825.08</v>
      </c>
      <c r="N11" s="90">
        <v>15665.25</v>
      </c>
      <c r="P11" s="114">
        <v>44692</v>
      </c>
      <c r="Q11" s="99">
        <v>17012.32</v>
      </c>
    </row>
    <row r="12" spans="1:17" ht="15.75" x14ac:dyDescent="0.25">
      <c r="A12" s="114">
        <v>44693</v>
      </c>
      <c r="B12" s="90">
        <v>12801.47</v>
      </c>
      <c r="C12" s="90">
        <v>13060.09</v>
      </c>
      <c r="D12" s="90">
        <v>12930.78</v>
      </c>
      <c r="E12" s="176"/>
      <c r="F12" s="115">
        <v>44693</v>
      </c>
      <c r="G12" s="90">
        <v>13385.4</v>
      </c>
      <c r="H12" s="90">
        <v>13654.44</v>
      </c>
      <c r="I12" s="108">
        <v>13519.92</v>
      </c>
      <c r="K12" s="114">
        <v>44693</v>
      </c>
      <c r="L12" s="90">
        <v>15611.39</v>
      </c>
      <c r="M12" s="90">
        <v>15932</v>
      </c>
      <c r="N12" s="90">
        <v>15771.7</v>
      </c>
      <c r="P12" s="114">
        <v>44693</v>
      </c>
      <c r="Q12" s="99">
        <v>17314.919999999998</v>
      </c>
    </row>
    <row r="13" spans="1:17" ht="15.75" x14ac:dyDescent="0.25">
      <c r="A13" s="114">
        <v>44694</v>
      </c>
      <c r="B13" s="90">
        <v>12801.47</v>
      </c>
      <c r="C13" s="90">
        <v>13060.09</v>
      </c>
      <c r="D13" s="90">
        <v>12930.78</v>
      </c>
      <c r="E13" s="176"/>
      <c r="F13" s="115">
        <v>44694</v>
      </c>
      <c r="G13" s="90">
        <v>13322.24</v>
      </c>
      <c r="H13" s="90">
        <v>13586.58</v>
      </c>
      <c r="I13" s="108">
        <v>13454.41</v>
      </c>
      <c r="K13" s="114">
        <v>44694</v>
      </c>
      <c r="L13" s="90">
        <v>15653.64</v>
      </c>
      <c r="M13" s="90">
        <v>15975.1</v>
      </c>
      <c r="N13" s="90">
        <v>15814.37</v>
      </c>
      <c r="P13" s="114">
        <v>44694</v>
      </c>
      <c r="Q13" s="99">
        <v>17236.439999999999</v>
      </c>
    </row>
    <row r="14" spans="1:17" ht="15.75" x14ac:dyDescent="0.25">
      <c r="A14" s="114">
        <v>44697</v>
      </c>
      <c r="B14" s="90">
        <v>12801.47</v>
      </c>
      <c r="C14" s="90">
        <v>13060.09</v>
      </c>
      <c r="D14" s="90">
        <v>12930.78</v>
      </c>
      <c r="E14" s="176"/>
      <c r="F14" s="115">
        <v>44697</v>
      </c>
      <c r="G14" s="90">
        <v>13338.77</v>
      </c>
      <c r="H14" s="90">
        <v>13600.09</v>
      </c>
      <c r="I14" s="108">
        <v>13469.43</v>
      </c>
      <c r="K14" s="114">
        <v>44697</v>
      </c>
      <c r="L14" s="90">
        <v>15667.72</v>
      </c>
      <c r="M14" s="90">
        <v>15985.55</v>
      </c>
      <c r="N14" s="90">
        <v>15826.63</v>
      </c>
      <c r="P14" s="114">
        <v>44697</v>
      </c>
      <c r="Q14" s="99">
        <v>17208.919999999998</v>
      </c>
    </row>
    <row r="15" spans="1:17" ht="15.75" x14ac:dyDescent="0.25">
      <c r="A15" s="114">
        <v>44698</v>
      </c>
      <c r="B15" s="90">
        <v>12801.47</v>
      </c>
      <c r="C15" s="90">
        <v>13060.09</v>
      </c>
      <c r="D15" s="90">
        <v>12930.78</v>
      </c>
      <c r="E15" s="176"/>
      <c r="F15" s="115">
        <v>44698</v>
      </c>
      <c r="G15" s="90">
        <v>13389.68</v>
      </c>
      <c r="H15" s="90">
        <v>13659.98</v>
      </c>
      <c r="I15" s="108">
        <v>13524.83</v>
      </c>
      <c r="K15" s="114">
        <v>44698</v>
      </c>
      <c r="L15" s="90">
        <v>15881.5</v>
      </c>
      <c r="M15" s="90">
        <v>16207.57</v>
      </c>
      <c r="N15" s="90">
        <v>16044.54</v>
      </c>
      <c r="P15" s="114">
        <v>44698</v>
      </c>
      <c r="Q15" s="99">
        <v>17236.439999999999</v>
      </c>
    </row>
    <row r="16" spans="1:17" ht="15.75" x14ac:dyDescent="0.25">
      <c r="A16" s="114">
        <v>44699</v>
      </c>
      <c r="B16" s="90">
        <v>12801.47</v>
      </c>
      <c r="C16" s="90">
        <v>13060.09</v>
      </c>
      <c r="D16" s="90">
        <v>12930.78</v>
      </c>
      <c r="E16" s="176"/>
      <c r="F16" s="115">
        <v>44699</v>
      </c>
      <c r="G16" s="90">
        <v>13463.47</v>
      </c>
      <c r="H16" s="90">
        <v>13732.9</v>
      </c>
      <c r="I16" s="108">
        <v>13598.18</v>
      </c>
      <c r="K16" s="114">
        <v>44699</v>
      </c>
      <c r="L16" s="90">
        <v>15881.5</v>
      </c>
      <c r="M16" s="90">
        <v>16207.57</v>
      </c>
      <c r="N16" s="90">
        <v>16044.54</v>
      </c>
      <c r="P16" s="114">
        <v>44699</v>
      </c>
      <c r="Q16" s="99">
        <v>17314.919999999998</v>
      </c>
    </row>
    <row r="17" spans="1:17" ht="15.75" x14ac:dyDescent="0.25">
      <c r="A17" s="114">
        <v>44700</v>
      </c>
      <c r="B17" s="90">
        <v>12685.87</v>
      </c>
      <c r="C17" s="90">
        <v>12942.15</v>
      </c>
      <c r="D17" s="90">
        <v>12814.01</v>
      </c>
      <c r="E17" s="176"/>
      <c r="F17" s="115">
        <v>44700</v>
      </c>
      <c r="G17" s="90">
        <v>13291.6</v>
      </c>
      <c r="H17" s="90">
        <v>13560.9</v>
      </c>
      <c r="I17" s="108">
        <v>13426.25</v>
      </c>
      <c r="K17" s="114">
        <v>44700</v>
      </c>
      <c r="L17" s="90">
        <v>15672.12</v>
      </c>
      <c r="M17" s="90">
        <v>15997.79</v>
      </c>
      <c r="N17" s="90">
        <v>15834.96</v>
      </c>
      <c r="P17" s="114">
        <v>44700</v>
      </c>
      <c r="Q17" s="99">
        <v>17153.96</v>
      </c>
    </row>
    <row r="18" spans="1:17" ht="15.75" x14ac:dyDescent="0.25">
      <c r="A18" s="114">
        <v>44701</v>
      </c>
      <c r="B18" s="90">
        <v>12685.87</v>
      </c>
      <c r="C18" s="90">
        <v>12942.15</v>
      </c>
      <c r="D18" s="90">
        <v>12814.01</v>
      </c>
      <c r="E18" s="176"/>
      <c r="F18" s="115">
        <v>44701</v>
      </c>
      <c r="G18" s="90">
        <v>13421.28</v>
      </c>
      <c r="H18" s="90">
        <v>13692.1</v>
      </c>
      <c r="I18" s="108">
        <v>13556.69</v>
      </c>
      <c r="K18" s="114">
        <v>44701</v>
      </c>
      <c r="L18" s="90">
        <v>15835.77</v>
      </c>
      <c r="M18" s="90">
        <v>16162.16</v>
      </c>
      <c r="N18" s="90">
        <v>15998.96</v>
      </c>
      <c r="P18" s="114">
        <v>44701</v>
      </c>
      <c r="Q18" s="99">
        <v>17176.96</v>
      </c>
    </row>
    <row r="19" spans="1:17" ht="15.75" x14ac:dyDescent="0.25">
      <c r="A19" s="114">
        <v>44704</v>
      </c>
      <c r="B19" s="90">
        <v>12685.87</v>
      </c>
      <c r="C19" s="90">
        <v>12942.15</v>
      </c>
      <c r="D19" s="90">
        <v>12814.01</v>
      </c>
      <c r="E19" s="176"/>
      <c r="F19" s="115">
        <v>44704</v>
      </c>
      <c r="G19" s="90">
        <v>13445.14</v>
      </c>
      <c r="H19" s="90">
        <v>13710.9</v>
      </c>
      <c r="I19" s="108">
        <v>13578.02</v>
      </c>
      <c r="K19" s="114">
        <v>44704</v>
      </c>
      <c r="L19" s="90">
        <v>15927.11</v>
      </c>
      <c r="M19" s="90">
        <v>16250.16</v>
      </c>
      <c r="N19" s="90">
        <v>16088.64</v>
      </c>
      <c r="P19" s="114">
        <v>44704</v>
      </c>
      <c r="Q19" s="99">
        <v>17227.759999999998</v>
      </c>
    </row>
    <row r="20" spans="1:17" ht="15.75" x14ac:dyDescent="0.25">
      <c r="A20" s="114">
        <v>44705</v>
      </c>
      <c r="B20" s="90">
        <v>12685.87</v>
      </c>
      <c r="C20" s="90">
        <v>12942.15</v>
      </c>
      <c r="D20" s="90">
        <v>12814.01</v>
      </c>
      <c r="E20" s="176"/>
      <c r="F20" s="115">
        <v>44705</v>
      </c>
      <c r="G20" s="90">
        <v>13609.54</v>
      </c>
      <c r="H20" s="90">
        <v>13882.98</v>
      </c>
      <c r="I20" s="108">
        <v>13746.26</v>
      </c>
      <c r="K20" s="114">
        <v>44705</v>
      </c>
      <c r="L20" s="90">
        <v>15962.63</v>
      </c>
      <c r="M20" s="90">
        <v>16290.28</v>
      </c>
      <c r="N20" s="90">
        <v>16126.46</v>
      </c>
      <c r="P20" s="114">
        <v>44705</v>
      </c>
      <c r="Q20" s="99">
        <v>17295.2</v>
      </c>
    </row>
    <row r="21" spans="1:17" ht="15.75" x14ac:dyDescent="0.25">
      <c r="A21" s="114">
        <v>44706</v>
      </c>
      <c r="B21" s="90">
        <v>12685.87</v>
      </c>
      <c r="C21" s="90">
        <v>12942.15</v>
      </c>
      <c r="D21" s="90">
        <v>12814.01</v>
      </c>
      <c r="E21" s="176"/>
      <c r="F21" s="115">
        <v>44706</v>
      </c>
      <c r="G21" s="90">
        <v>13560.5</v>
      </c>
      <c r="H21" s="90">
        <v>13831.79</v>
      </c>
      <c r="I21" s="108">
        <v>13696.14</v>
      </c>
      <c r="K21" s="114">
        <v>44706</v>
      </c>
      <c r="L21" s="90">
        <v>15911.89</v>
      </c>
      <c r="M21" s="90">
        <v>16238.52</v>
      </c>
      <c r="N21" s="90">
        <v>16075.2</v>
      </c>
      <c r="P21" s="114">
        <v>44706</v>
      </c>
      <c r="Q21" s="99">
        <v>17297.53</v>
      </c>
    </row>
    <row r="22" spans="1:17" ht="15.75" x14ac:dyDescent="0.25">
      <c r="A22" s="114">
        <v>44707</v>
      </c>
      <c r="B22" s="90">
        <v>12925.7</v>
      </c>
      <c r="C22" s="90">
        <v>13186.82</v>
      </c>
      <c r="D22" s="90">
        <v>13056.26</v>
      </c>
      <c r="E22" s="176"/>
      <c r="F22" s="115">
        <v>44707</v>
      </c>
      <c r="G22" s="90">
        <v>13824.1</v>
      </c>
      <c r="H22" s="90">
        <v>14100.66</v>
      </c>
      <c r="I22" s="108">
        <v>13962.38</v>
      </c>
      <c r="K22" s="114">
        <v>44707</v>
      </c>
      <c r="L22" s="90">
        <v>16269.58</v>
      </c>
      <c r="M22" s="90">
        <v>16603.53</v>
      </c>
      <c r="N22" s="90">
        <v>16436.55</v>
      </c>
      <c r="P22" s="114">
        <v>44707</v>
      </c>
      <c r="Q22" s="99">
        <v>17598.41</v>
      </c>
    </row>
    <row r="23" spans="1:17" ht="15.75" x14ac:dyDescent="0.25">
      <c r="A23" s="114">
        <v>44708</v>
      </c>
      <c r="B23" s="90">
        <v>12925.7</v>
      </c>
      <c r="C23" s="90">
        <v>13186.82</v>
      </c>
      <c r="D23" s="90">
        <v>13056.26</v>
      </c>
      <c r="E23" s="176"/>
      <c r="F23" s="115">
        <v>44708</v>
      </c>
      <c r="G23" s="90">
        <v>13890.95</v>
      </c>
      <c r="H23" s="90">
        <v>14166.66</v>
      </c>
      <c r="I23" s="108">
        <v>14028.8</v>
      </c>
      <c r="K23" s="114">
        <v>44708</v>
      </c>
      <c r="L23" s="90">
        <v>16313.53</v>
      </c>
      <c r="M23" s="90">
        <v>16644.400000000001</v>
      </c>
      <c r="N23" s="90">
        <v>16478.97</v>
      </c>
      <c r="P23" s="114">
        <v>44708</v>
      </c>
      <c r="Q23" s="99">
        <v>17626.919999999998</v>
      </c>
    </row>
    <row r="24" spans="1:17" ht="15.75" x14ac:dyDescent="0.25">
      <c r="A24" s="114">
        <v>44711</v>
      </c>
      <c r="B24" s="90">
        <v>12925.7</v>
      </c>
      <c r="C24" s="90">
        <v>13186.82</v>
      </c>
      <c r="D24" s="90">
        <v>13056.26</v>
      </c>
      <c r="E24" s="176"/>
      <c r="F24" s="115">
        <v>44711</v>
      </c>
      <c r="G24" s="90">
        <v>13906.69</v>
      </c>
      <c r="H24" s="90">
        <v>14186.08</v>
      </c>
      <c r="I24" s="108">
        <v>14046.38</v>
      </c>
      <c r="K24" s="114">
        <v>44711</v>
      </c>
      <c r="L24" s="90">
        <v>16326.45</v>
      </c>
      <c r="M24" s="90">
        <v>16661.55</v>
      </c>
      <c r="N24" s="90">
        <v>16494</v>
      </c>
      <c r="P24" s="114">
        <v>44711</v>
      </c>
      <c r="Q24" s="99">
        <v>17615.03</v>
      </c>
    </row>
    <row r="25" spans="1:17" ht="15.75" x14ac:dyDescent="0.25">
      <c r="A25" s="114">
        <v>44712</v>
      </c>
      <c r="B25" s="90">
        <v>12925.7</v>
      </c>
      <c r="C25" s="90">
        <v>13186.82</v>
      </c>
      <c r="D25" s="90">
        <v>13056.26</v>
      </c>
      <c r="E25" s="176"/>
      <c r="F25" s="115">
        <v>44712</v>
      </c>
      <c r="G25" s="90">
        <v>13884.26</v>
      </c>
      <c r="H25" s="90">
        <v>14163.12</v>
      </c>
      <c r="I25" s="108">
        <v>14023.69</v>
      </c>
      <c r="K25" s="114">
        <v>44712</v>
      </c>
      <c r="L25" s="90">
        <v>16307.06</v>
      </c>
      <c r="M25" s="90">
        <v>16643.09</v>
      </c>
      <c r="N25" s="90">
        <v>16475.07</v>
      </c>
      <c r="P25" s="114">
        <v>44712</v>
      </c>
      <c r="Q25" s="99">
        <v>17615.03</v>
      </c>
    </row>
    <row r="26" spans="1:17" ht="15.75" x14ac:dyDescent="0.25">
      <c r="A26" s="94" t="s">
        <v>31</v>
      </c>
      <c r="B26" s="95">
        <f>AVERAGE(B4:B25)</f>
        <v>12713.201904761905</v>
      </c>
      <c r="C26" s="95">
        <f t="shared" ref="C26:D26" si="0">AVERAGE(C4:C25)</f>
        <v>12970.033809523808</v>
      </c>
      <c r="D26" s="95">
        <f t="shared" si="0"/>
        <v>12841.61666666667</v>
      </c>
      <c r="E26" s="176"/>
      <c r="F26" s="96" t="s">
        <v>32</v>
      </c>
      <c r="G26" s="95">
        <f>AVERAGE(G4:G25)</f>
        <v>13442.499047619049</v>
      </c>
      <c r="H26" s="95">
        <f t="shared" ref="H26:I26" si="1">AVERAGE(H4:H25)</f>
        <v>13711.446666666667</v>
      </c>
      <c r="I26" s="95">
        <f t="shared" si="1"/>
        <v>13576.971904761904</v>
      </c>
      <c r="K26" s="96" t="s">
        <v>32</v>
      </c>
      <c r="L26" s="95">
        <f>AVERAGE(L4:L25)</f>
        <v>15817.659047619049</v>
      </c>
      <c r="M26" s="95">
        <f t="shared" ref="M26:N26" si="2">AVERAGE(M4:M25)</f>
        <v>16141.962857142862</v>
      </c>
      <c r="N26" s="95">
        <f t="shared" si="2"/>
        <v>15979.810476190474</v>
      </c>
      <c r="P26" s="96" t="s">
        <v>32</v>
      </c>
      <c r="Q26" s="100">
        <f>AVERAGE(Q4:Q25)</f>
        <v>17232.618095238093</v>
      </c>
    </row>
    <row r="28" spans="1:17" x14ac:dyDescent="0.25">
      <c r="A28" s="45" t="s">
        <v>12</v>
      </c>
      <c r="K28" s="45" t="s">
        <v>12</v>
      </c>
    </row>
    <row r="29" spans="1:17" x14ac:dyDescent="0.25">
      <c r="A29" s="45" t="s">
        <v>13</v>
      </c>
      <c r="K29" s="45" t="s">
        <v>13</v>
      </c>
    </row>
    <row r="30" spans="1:17" x14ac:dyDescent="0.25">
      <c r="A30" s="45" t="s">
        <v>14</v>
      </c>
      <c r="K30" s="45" t="s">
        <v>14</v>
      </c>
    </row>
  </sheetData>
  <mergeCells count="15">
    <mergeCell ref="A1:D1"/>
    <mergeCell ref="F1:I1"/>
    <mergeCell ref="K1:N1"/>
    <mergeCell ref="A2:A3"/>
    <mergeCell ref="B2:D2"/>
    <mergeCell ref="E2:E26"/>
    <mergeCell ref="F2:F3"/>
    <mergeCell ref="G2:I2"/>
    <mergeCell ref="B4:D4"/>
    <mergeCell ref="G4:I4"/>
    <mergeCell ref="K2:K3"/>
    <mergeCell ref="L2:N2"/>
    <mergeCell ref="L4:N4"/>
    <mergeCell ref="P2:P3"/>
    <mergeCell ref="Q2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="A28" sqref="A28:A30"/>
    </sheetView>
  </sheetViews>
  <sheetFormatPr defaultRowHeight="15" x14ac:dyDescent="0.25"/>
  <cols>
    <col min="1" max="1" width="13.28515625" customWidth="1"/>
    <col min="2" max="2" width="10.85546875" customWidth="1"/>
    <col min="3" max="4" width="11" customWidth="1"/>
    <col min="5" max="5" width="7.5703125" customWidth="1"/>
    <col min="6" max="6" width="13.28515625" customWidth="1"/>
    <col min="7" max="7" width="11" customWidth="1"/>
    <col min="8" max="8" width="10.85546875" customWidth="1"/>
    <col min="9" max="9" width="11" customWidth="1"/>
    <col min="11" max="11" width="17.28515625" customWidth="1"/>
    <col min="12" max="12" width="13.85546875" customWidth="1"/>
    <col min="13" max="13" width="14.140625" customWidth="1"/>
    <col min="14" max="14" width="13.85546875" customWidth="1"/>
    <col min="15" max="15" width="9.5703125" customWidth="1"/>
    <col min="16" max="16" width="16" customWidth="1"/>
    <col min="17" max="17" width="14.42578125" customWidth="1"/>
  </cols>
  <sheetData>
    <row r="1" spans="1:17" x14ac:dyDescent="0.25">
      <c r="A1" s="211" t="s">
        <v>50</v>
      </c>
      <c r="B1" s="211"/>
      <c r="C1" s="211"/>
      <c r="D1" s="211"/>
      <c r="E1" s="116"/>
      <c r="F1" s="211" t="s">
        <v>51</v>
      </c>
      <c r="G1" s="211"/>
      <c r="H1" s="211"/>
      <c r="I1" s="211"/>
      <c r="K1" s="204" t="s">
        <v>52</v>
      </c>
      <c r="L1" s="204"/>
      <c r="M1" s="204"/>
      <c r="N1" s="204"/>
      <c r="O1" s="119"/>
      <c r="P1" s="205" t="s">
        <v>53</v>
      </c>
      <c r="Q1" s="205"/>
    </row>
    <row r="2" spans="1:17" x14ac:dyDescent="0.25">
      <c r="A2" s="171" t="s">
        <v>24</v>
      </c>
      <c r="B2" s="173" t="s">
        <v>25</v>
      </c>
      <c r="C2" s="174"/>
      <c r="D2" s="175"/>
      <c r="E2" s="176"/>
      <c r="F2" s="171" t="s">
        <v>24</v>
      </c>
      <c r="G2" s="173" t="s">
        <v>26</v>
      </c>
      <c r="H2" s="174"/>
      <c r="I2" s="175"/>
      <c r="K2" s="206" t="s">
        <v>24</v>
      </c>
      <c r="L2" s="161" t="s">
        <v>33</v>
      </c>
      <c r="M2" s="162"/>
      <c r="N2" s="163"/>
      <c r="O2" s="176"/>
      <c r="P2" s="200" t="s">
        <v>34</v>
      </c>
      <c r="Q2" s="169" t="s">
        <v>35</v>
      </c>
    </row>
    <row r="3" spans="1:17" x14ac:dyDescent="0.25">
      <c r="A3" s="172"/>
      <c r="B3" s="88" t="s">
        <v>27</v>
      </c>
      <c r="C3" s="88" t="s">
        <v>28</v>
      </c>
      <c r="D3" s="101" t="s">
        <v>29</v>
      </c>
      <c r="E3" s="176"/>
      <c r="F3" s="172"/>
      <c r="G3" s="88" t="s">
        <v>27</v>
      </c>
      <c r="H3" s="88" t="s">
        <v>28</v>
      </c>
      <c r="I3" s="101" t="s">
        <v>29</v>
      </c>
      <c r="K3" s="207"/>
      <c r="L3" s="105" t="s">
        <v>27</v>
      </c>
      <c r="M3" s="105" t="s">
        <v>28</v>
      </c>
      <c r="N3" s="120" t="s">
        <v>29</v>
      </c>
      <c r="O3" s="176"/>
      <c r="P3" s="201"/>
      <c r="Q3" s="170"/>
    </row>
    <row r="4" spans="1:17" x14ac:dyDescent="0.25">
      <c r="A4" s="117">
        <v>44713</v>
      </c>
      <c r="B4" s="90">
        <v>12925.7</v>
      </c>
      <c r="C4" s="90">
        <v>13186.82</v>
      </c>
      <c r="D4" s="102">
        <v>13056.26</v>
      </c>
      <c r="E4" s="176"/>
      <c r="F4" s="118">
        <v>44713</v>
      </c>
      <c r="G4" s="90">
        <v>13866.33</v>
      </c>
      <c r="H4" s="90">
        <v>14140.35</v>
      </c>
      <c r="I4" s="102">
        <v>14003.34</v>
      </c>
      <c r="K4" s="89">
        <v>44713</v>
      </c>
      <c r="L4" s="90">
        <v>16291.55</v>
      </c>
      <c r="M4" s="90">
        <v>16621.990000000002</v>
      </c>
      <c r="N4" s="108">
        <v>16456.77</v>
      </c>
      <c r="O4" s="176"/>
      <c r="P4" s="89">
        <v>44713</v>
      </c>
      <c r="Q4" s="99">
        <v>17622.16</v>
      </c>
    </row>
    <row r="5" spans="1:17" x14ac:dyDescent="0.25">
      <c r="A5" s="117">
        <v>44714</v>
      </c>
      <c r="B5" s="90">
        <v>12906.29</v>
      </c>
      <c r="C5" s="90">
        <v>13167.02</v>
      </c>
      <c r="D5" s="102">
        <v>13036.65</v>
      </c>
      <c r="E5" s="176"/>
      <c r="F5" s="118">
        <v>44714</v>
      </c>
      <c r="G5" s="90">
        <v>13793.8</v>
      </c>
      <c r="H5" s="90">
        <v>14069.75</v>
      </c>
      <c r="I5" s="102">
        <v>13931.77</v>
      </c>
      <c r="K5" s="89">
        <v>44714</v>
      </c>
      <c r="L5" s="90">
        <v>16167.71</v>
      </c>
      <c r="M5" s="90">
        <v>16499.59</v>
      </c>
      <c r="N5" s="108">
        <v>16333.65</v>
      </c>
      <c r="O5" s="176"/>
      <c r="P5" s="89">
        <v>44714</v>
      </c>
      <c r="Q5" s="99">
        <v>17588.57</v>
      </c>
    </row>
    <row r="6" spans="1:17" x14ac:dyDescent="0.25">
      <c r="A6" s="117">
        <v>44715</v>
      </c>
      <c r="B6" s="90">
        <v>12906.29</v>
      </c>
      <c r="C6" s="90">
        <v>13167.02</v>
      </c>
      <c r="D6" s="102">
        <v>13036.65</v>
      </c>
      <c r="E6" s="176"/>
      <c r="F6" s="118">
        <v>44715</v>
      </c>
      <c r="G6" s="90">
        <v>13886.51</v>
      </c>
      <c r="H6" s="90">
        <v>14167.66</v>
      </c>
      <c r="I6" s="102">
        <v>14027.09</v>
      </c>
      <c r="K6" s="89">
        <v>44715</v>
      </c>
      <c r="L6" s="90">
        <v>16236.11</v>
      </c>
      <c r="M6" s="90">
        <v>16573.330000000002</v>
      </c>
      <c r="N6" s="108">
        <v>16404.72</v>
      </c>
      <c r="O6" s="176"/>
      <c r="P6" s="89">
        <v>44715</v>
      </c>
      <c r="Q6" s="99">
        <v>17574.349999999999</v>
      </c>
    </row>
    <row r="7" spans="1:17" x14ac:dyDescent="0.25">
      <c r="A7" s="117">
        <v>44718</v>
      </c>
      <c r="B7" s="90">
        <v>12906.29</v>
      </c>
      <c r="C7" s="90">
        <v>13167.02</v>
      </c>
      <c r="D7" s="102">
        <v>13036.65</v>
      </c>
      <c r="E7" s="176"/>
      <c r="F7" s="118">
        <v>44718</v>
      </c>
      <c r="G7" s="90">
        <v>13850.6</v>
      </c>
      <c r="H7" s="90">
        <v>14125.48</v>
      </c>
      <c r="I7" s="102">
        <v>13988.04</v>
      </c>
      <c r="K7" s="89">
        <v>44718</v>
      </c>
      <c r="L7" s="90">
        <v>16166.42</v>
      </c>
      <c r="M7" s="90">
        <v>16494.330000000002</v>
      </c>
      <c r="N7" s="108">
        <v>16330.37</v>
      </c>
      <c r="O7" s="176"/>
      <c r="P7" s="89">
        <v>44718</v>
      </c>
      <c r="Q7" s="99">
        <v>17607.580000000002</v>
      </c>
    </row>
    <row r="8" spans="1:17" x14ac:dyDescent="0.25">
      <c r="A8" s="117">
        <v>44719</v>
      </c>
      <c r="B8" s="90">
        <v>12906.29</v>
      </c>
      <c r="C8" s="90">
        <v>13167.02</v>
      </c>
      <c r="D8" s="102">
        <v>13036.65</v>
      </c>
      <c r="E8" s="176"/>
      <c r="F8" s="118">
        <v>44719</v>
      </c>
      <c r="G8" s="90">
        <v>13795.16</v>
      </c>
      <c r="H8" s="90">
        <v>14068.87</v>
      </c>
      <c r="I8" s="102">
        <v>13932.01</v>
      </c>
      <c r="K8" s="89">
        <v>44719</v>
      </c>
      <c r="L8" s="90">
        <v>16104.47</v>
      </c>
      <c r="M8" s="90">
        <v>16432.439999999999</v>
      </c>
      <c r="N8" s="108">
        <v>16268.45</v>
      </c>
      <c r="O8" s="176"/>
      <c r="P8" s="89">
        <v>44719</v>
      </c>
      <c r="Q8" s="99">
        <v>17595.689999999999</v>
      </c>
    </row>
    <row r="9" spans="1:17" x14ac:dyDescent="0.25">
      <c r="A9" s="117">
        <v>44720</v>
      </c>
      <c r="B9" s="90">
        <v>12906.29</v>
      </c>
      <c r="C9" s="90">
        <v>13167.02</v>
      </c>
      <c r="D9" s="102">
        <v>13036.65</v>
      </c>
      <c r="E9" s="176"/>
      <c r="F9" s="118">
        <v>44720</v>
      </c>
      <c r="G9" s="90">
        <v>13791.61</v>
      </c>
      <c r="H9" s="90">
        <v>14067.52</v>
      </c>
      <c r="I9" s="102">
        <v>13929.56</v>
      </c>
      <c r="K9" s="89">
        <v>44720</v>
      </c>
      <c r="L9" s="90">
        <v>16205.14</v>
      </c>
      <c r="M9" s="90">
        <v>16537.78</v>
      </c>
      <c r="N9" s="108">
        <v>16371.46</v>
      </c>
      <c r="O9" s="176"/>
      <c r="P9" s="89">
        <v>44720</v>
      </c>
      <c r="Q9" s="99">
        <v>17531.8</v>
      </c>
    </row>
    <row r="10" spans="1:17" x14ac:dyDescent="0.25">
      <c r="A10" s="117">
        <v>44721</v>
      </c>
      <c r="B10" s="90">
        <v>13019.85</v>
      </c>
      <c r="C10" s="90">
        <v>13282.88</v>
      </c>
      <c r="D10" s="102">
        <v>13151.36</v>
      </c>
      <c r="E10" s="176"/>
      <c r="F10" s="118">
        <v>44721</v>
      </c>
      <c r="G10" s="90">
        <v>13019.85</v>
      </c>
      <c r="H10" s="90">
        <v>13282.88</v>
      </c>
      <c r="I10" s="102">
        <v>13151.36</v>
      </c>
      <c r="K10" s="89">
        <v>44721</v>
      </c>
      <c r="L10" s="90">
        <v>16270.91</v>
      </c>
      <c r="M10" s="90">
        <v>16606.259999999998</v>
      </c>
      <c r="N10" s="108">
        <v>16438.580000000002</v>
      </c>
      <c r="O10" s="176"/>
      <c r="P10" s="89">
        <v>44721</v>
      </c>
      <c r="Q10" s="99">
        <v>17695.59</v>
      </c>
    </row>
    <row r="11" spans="1:17" x14ac:dyDescent="0.25">
      <c r="A11" s="107">
        <v>44722</v>
      </c>
      <c r="B11" s="90">
        <v>13019.85</v>
      </c>
      <c r="C11" s="90">
        <v>13282.88</v>
      </c>
      <c r="D11" s="102">
        <v>13151.36</v>
      </c>
      <c r="E11" s="176"/>
      <c r="F11" s="118">
        <v>44722</v>
      </c>
      <c r="G11" s="90">
        <v>13824.45</v>
      </c>
      <c r="H11" s="90">
        <v>14104.44</v>
      </c>
      <c r="I11" s="102">
        <v>13964.45</v>
      </c>
      <c r="K11" s="89">
        <v>44722</v>
      </c>
      <c r="L11" s="90">
        <v>16240.96</v>
      </c>
      <c r="M11" s="90">
        <v>16578.36</v>
      </c>
      <c r="N11" s="108">
        <v>16409.66</v>
      </c>
      <c r="O11" s="176"/>
      <c r="P11" s="89">
        <v>44722</v>
      </c>
      <c r="Q11" s="99">
        <v>17707.5</v>
      </c>
    </row>
    <row r="12" spans="1:17" x14ac:dyDescent="0.25">
      <c r="A12" s="107">
        <v>44725</v>
      </c>
      <c r="B12" s="90">
        <v>13019.85</v>
      </c>
      <c r="C12" s="90">
        <v>13282.88</v>
      </c>
      <c r="D12" s="102">
        <v>13151.36</v>
      </c>
      <c r="E12" s="176"/>
      <c r="F12" s="118">
        <v>44725</v>
      </c>
      <c r="G12" s="90">
        <v>13630.09</v>
      </c>
      <c r="H12" s="90">
        <v>13903.99</v>
      </c>
      <c r="I12" s="102">
        <v>13767.04</v>
      </c>
      <c r="K12" s="89">
        <v>44725</v>
      </c>
      <c r="L12" s="90">
        <v>15936.3</v>
      </c>
      <c r="M12" s="90">
        <v>16264.89</v>
      </c>
      <c r="N12" s="108">
        <v>16100.59</v>
      </c>
      <c r="O12" s="176"/>
      <c r="P12" s="89">
        <v>44725</v>
      </c>
      <c r="Q12" s="99">
        <v>17619.72</v>
      </c>
    </row>
    <row r="13" spans="1:17" x14ac:dyDescent="0.25">
      <c r="A13" s="107">
        <v>44726</v>
      </c>
      <c r="B13" s="90">
        <v>13019.85</v>
      </c>
      <c r="C13" s="90">
        <v>13282.88</v>
      </c>
      <c r="D13" s="102">
        <v>13151.36</v>
      </c>
      <c r="E13" s="176"/>
      <c r="F13" s="118">
        <v>44726</v>
      </c>
      <c r="G13" s="90">
        <v>13629.93</v>
      </c>
      <c r="H13" s="90">
        <v>13903.87</v>
      </c>
      <c r="I13" s="102">
        <v>13766.9</v>
      </c>
      <c r="K13" s="89">
        <v>44726</v>
      </c>
      <c r="L13" s="90">
        <v>15852.97</v>
      </c>
      <c r="M13" s="90">
        <v>16178.55</v>
      </c>
      <c r="N13" s="108">
        <v>16015.76</v>
      </c>
      <c r="O13" s="176"/>
      <c r="P13" s="89">
        <v>44726</v>
      </c>
      <c r="Q13" s="99">
        <v>17509.47</v>
      </c>
    </row>
    <row r="14" spans="1:17" x14ac:dyDescent="0.25">
      <c r="A14" s="107">
        <v>44727</v>
      </c>
      <c r="B14" s="90">
        <v>13019.85</v>
      </c>
      <c r="C14" s="90">
        <v>13282.88</v>
      </c>
      <c r="D14" s="102">
        <v>13151.36</v>
      </c>
      <c r="E14" s="176"/>
      <c r="F14" s="118">
        <v>44727</v>
      </c>
      <c r="G14" s="90">
        <v>13630.46</v>
      </c>
      <c r="H14" s="90">
        <v>13904.4</v>
      </c>
      <c r="I14" s="102">
        <v>13767.43</v>
      </c>
      <c r="K14" s="89">
        <v>44727</v>
      </c>
      <c r="L14" s="90">
        <v>15665.48</v>
      </c>
      <c r="M14" s="90">
        <v>15987.27</v>
      </c>
      <c r="N14" s="108">
        <v>15826.38</v>
      </c>
      <c r="O14" s="176"/>
      <c r="P14" s="89">
        <v>44727</v>
      </c>
      <c r="Q14" s="99">
        <v>17481.54</v>
      </c>
    </row>
    <row r="15" spans="1:17" x14ac:dyDescent="0.25">
      <c r="A15" s="107">
        <v>44728</v>
      </c>
      <c r="B15" s="90">
        <v>13021.31</v>
      </c>
      <c r="C15" s="90">
        <v>13284.37</v>
      </c>
      <c r="D15" s="102">
        <v>13152.84</v>
      </c>
      <c r="E15" s="176"/>
      <c r="F15" s="118">
        <v>44728</v>
      </c>
      <c r="G15" s="90">
        <v>13544.67</v>
      </c>
      <c r="H15" s="90">
        <v>13816.93</v>
      </c>
      <c r="I15" s="102">
        <v>13680.8</v>
      </c>
      <c r="K15" s="89">
        <v>44728</v>
      </c>
      <c r="L15" s="90">
        <v>15737.56</v>
      </c>
      <c r="M15" s="90">
        <v>16060.8</v>
      </c>
      <c r="N15" s="108">
        <v>15899.18</v>
      </c>
      <c r="O15" s="176"/>
      <c r="P15" s="89">
        <v>44728</v>
      </c>
      <c r="Q15" s="99">
        <v>17516.099999999999</v>
      </c>
    </row>
    <row r="16" spans="1:17" x14ac:dyDescent="0.25">
      <c r="A16" s="107">
        <v>44729</v>
      </c>
      <c r="B16" s="90">
        <v>13021.31</v>
      </c>
      <c r="C16" s="90">
        <v>13284.37</v>
      </c>
      <c r="D16" s="102">
        <v>13152.84</v>
      </c>
      <c r="E16" s="176"/>
      <c r="F16" s="118">
        <v>44729</v>
      </c>
      <c r="G16" s="90">
        <v>13697.55</v>
      </c>
      <c r="H16" s="90">
        <v>13972.84</v>
      </c>
      <c r="I16" s="102">
        <v>13835.2</v>
      </c>
      <c r="K16" s="89">
        <v>44729</v>
      </c>
      <c r="L16" s="90">
        <v>16009.7</v>
      </c>
      <c r="M16" s="90">
        <v>16338.45</v>
      </c>
      <c r="N16" s="108">
        <v>16174.07</v>
      </c>
      <c r="O16" s="176"/>
      <c r="P16" s="89">
        <v>44729</v>
      </c>
      <c r="Q16" s="99">
        <v>17485.830000000002</v>
      </c>
    </row>
    <row r="17" spans="1:17" x14ac:dyDescent="0.25">
      <c r="A17" s="107">
        <v>44732</v>
      </c>
      <c r="B17" s="90">
        <v>13021.31</v>
      </c>
      <c r="C17" s="90">
        <v>13284.37</v>
      </c>
      <c r="D17" s="102">
        <v>13152.84</v>
      </c>
      <c r="E17" s="176"/>
      <c r="F17" s="118">
        <v>44732</v>
      </c>
      <c r="G17" s="90">
        <v>13695.5</v>
      </c>
      <c r="H17" s="90">
        <v>13966.12</v>
      </c>
      <c r="I17" s="102">
        <v>13830.81</v>
      </c>
      <c r="K17" s="89">
        <v>44732</v>
      </c>
      <c r="L17" s="90">
        <v>15923.76</v>
      </c>
      <c r="M17" s="90">
        <v>16246.78</v>
      </c>
      <c r="N17" s="108">
        <v>16085.27</v>
      </c>
      <c r="O17" s="176"/>
      <c r="P17" s="89">
        <v>44732</v>
      </c>
      <c r="Q17" s="99">
        <v>17562.88</v>
      </c>
    </row>
    <row r="18" spans="1:17" x14ac:dyDescent="0.25">
      <c r="A18" s="107">
        <v>44733</v>
      </c>
      <c r="B18" s="90">
        <v>13021.31</v>
      </c>
      <c r="C18" s="90">
        <v>13284.37</v>
      </c>
      <c r="D18" s="102">
        <v>13152.84</v>
      </c>
      <c r="E18" s="176"/>
      <c r="F18" s="118">
        <v>44733</v>
      </c>
      <c r="G18" s="90">
        <v>13743.85</v>
      </c>
      <c r="H18" s="90">
        <v>14018.84</v>
      </c>
      <c r="I18" s="102">
        <v>13881.34</v>
      </c>
      <c r="K18" s="89">
        <v>44733</v>
      </c>
      <c r="L18" s="90">
        <v>16000.59</v>
      </c>
      <c r="M18" s="90">
        <v>16329.15</v>
      </c>
      <c r="N18" s="108">
        <v>16164.87</v>
      </c>
      <c r="O18" s="176"/>
      <c r="P18" s="89">
        <v>44733</v>
      </c>
      <c r="Q18" s="99">
        <v>17562.88</v>
      </c>
    </row>
    <row r="19" spans="1:17" x14ac:dyDescent="0.25">
      <c r="A19" s="107">
        <v>44734</v>
      </c>
      <c r="B19" s="90">
        <v>13021.31</v>
      </c>
      <c r="C19" s="90">
        <v>13284.37</v>
      </c>
      <c r="D19" s="102">
        <v>13152.84</v>
      </c>
      <c r="E19" s="176"/>
      <c r="F19" s="118">
        <v>44734</v>
      </c>
      <c r="G19" s="90">
        <v>13686.34</v>
      </c>
      <c r="H19" s="90">
        <v>13960.2</v>
      </c>
      <c r="I19" s="102">
        <v>13823.27</v>
      </c>
      <c r="K19" s="89">
        <v>44734</v>
      </c>
      <c r="L19" s="90">
        <v>15891.21</v>
      </c>
      <c r="M19" s="90">
        <v>16217.56</v>
      </c>
      <c r="N19" s="108">
        <v>16054.38</v>
      </c>
      <c r="O19" s="176"/>
      <c r="P19" s="89">
        <v>44734</v>
      </c>
      <c r="Q19" s="99">
        <v>17569.919999999998</v>
      </c>
    </row>
    <row r="20" spans="1:17" x14ac:dyDescent="0.25">
      <c r="A20" s="107">
        <v>44735</v>
      </c>
      <c r="B20" s="90">
        <v>13021.62</v>
      </c>
      <c r="C20" s="90">
        <v>13284.68</v>
      </c>
      <c r="D20" s="102">
        <v>13153.15</v>
      </c>
      <c r="E20" s="176"/>
      <c r="F20" s="118">
        <v>44735</v>
      </c>
      <c r="G20" s="90">
        <v>13694.78</v>
      </c>
      <c r="H20" s="90">
        <v>13966.5</v>
      </c>
      <c r="I20" s="102">
        <v>13830.64</v>
      </c>
      <c r="K20" s="89">
        <v>44735</v>
      </c>
      <c r="L20" s="90">
        <v>15868.15</v>
      </c>
      <c r="M20" s="90">
        <v>16191.37</v>
      </c>
      <c r="N20" s="108">
        <v>16029.76</v>
      </c>
      <c r="O20" s="176"/>
      <c r="P20" s="89">
        <v>44735</v>
      </c>
      <c r="Q20" s="99">
        <v>17539.87</v>
      </c>
    </row>
    <row r="21" spans="1:17" x14ac:dyDescent="0.25">
      <c r="A21" s="107">
        <v>44736</v>
      </c>
      <c r="B21" s="90">
        <v>13021.62</v>
      </c>
      <c r="C21" s="90">
        <v>13284.68</v>
      </c>
      <c r="D21" s="102">
        <v>13153.15</v>
      </c>
      <c r="E21" s="176"/>
      <c r="F21" s="118">
        <v>44736</v>
      </c>
      <c r="G21" s="90">
        <v>13709.62</v>
      </c>
      <c r="H21" s="90">
        <v>13985.07</v>
      </c>
      <c r="I21" s="102">
        <v>13847.35</v>
      </c>
      <c r="K21" s="89">
        <v>44736</v>
      </c>
      <c r="L21" s="90">
        <v>15958</v>
      </c>
      <c r="M21" s="90">
        <v>16287.02</v>
      </c>
      <c r="N21" s="108">
        <v>16122.51</v>
      </c>
      <c r="O21" s="176"/>
      <c r="P21" s="89">
        <v>44736</v>
      </c>
      <c r="Q21" s="99">
        <v>17537.53</v>
      </c>
    </row>
    <row r="22" spans="1:17" x14ac:dyDescent="0.25">
      <c r="A22" s="107">
        <v>44739</v>
      </c>
      <c r="B22" s="90">
        <v>13021.62</v>
      </c>
      <c r="C22" s="90">
        <v>13284.68</v>
      </c>
      <c r="D22" s="102">
        <v>13153.15</v>
      </c>
      <c r="E22" s="176"/>
      <c r="F22" s="118">
        <v>44739</v>
      </c>
      <c r="G22" s="90">
        <v>13773.9</v>
      </c>
      <c r="H22" s="90">
        <v>14050.69</v>
      </c>
      <c r="I22" s="102">
        <v>13912.29</v>
      </c>
      <c r="K22" s="89">
        <v>44739</v>
      </c>
      <c r="L22" s="90">
        <v>16021.8</v>
      </c>
      <c r="M22" s="90">
        <v>16350.78</v>
      </c>
      <c r="N22" s="108">
        <v>16186.29</v>
      </c>
      <c r="O22" s="176"/>
      <c r="P22" s="89">
        <v>44739</v>
      </c>
      <c r="Q22" s="99">
        <v>17572.68</v>
      </c>
    </row>
    <row r="23" spans="1:17" x14ac:dyDescent="0.25">
      <c r="A23" s="107">
        <v>44740</v>
      </c>
      <c r="B23" s="90">
        <v>13021.62</v>
      </c>
      <c r="C23" s="90">
        <v>13284.68</v>
      </c>
      <c r="D23" s="102">
        <v>13153.15</v>
      </c>
      <c r="E23" s="176"/>
      <c r="F23" s="118">
        <v>44740</v>
      </c>
      <c r="G23" s="90">
        <v>13790.84</v>
      </c>
      <c r="H23" s="90">
        <v>14065.66</v>
      </c>
      <c r="I23" s="102">
        <v>13928.25</v>
      </c>
      <c r="K23" s="89">
        <v>44740</v>
      </c>
      <c r="L23" s="90">
        <v>15968.41</v>
      </c>
      <c r="M23" s="90">
        <v>16293.66</v>
      </c>
      <c r="N23" s="108">
        <v>16131.04</v>
      </c>
      <c r="O23" s="176"/>
      <c r="P23" s="89">
        <v>44740</v>
      </c>
      <c r="Q23" s="99">
        <v>17593.830000000002</v>
      </c>
    </row>
    <row r="24" spans="1:17" x14ac:dyDescent="0.25">
      <c r="A24" s="107">
        <v>44741</v>
      </c>
      <c r="B24" s="90">
        <v>13021.62</v>
      </c>
      <c r="C24" s="90">
        <v>13284.68</v>
      </c>
      <c r="D24" s="102">
        <v>13153.15</v>
      </c>
      <c r="E24" s="176"/>
      <c r="F24" s="118">
        <v>44741</v>
      </c>
      <c r="G24" s="90">
        <v>13689.88</v>
      </c>
      <c r="H24" s="90">
        <v>13968.44</v>
      </c>
      <c r="I24" s="102">
        <v>13829.16</v>
      </c>
      <c r="K24" s="89">
        <v>44741</v>
      </c>
      <c r="L24" s="90">
        <v>15872.05</v>
      </c>
      <c r="M24" s="90">
        <v>16202</v>
      </c>
      <c r="N24" s="108">
        <v>16037.02</v>
      </c>
      <c r="O24" s="176"/>
      <c r="P24" s="89">
        <v>44741</v>
      </c>
      <c r="Q24" s="99">
        <v>17577.38</v>
      </c>
    </row>
    <row r="25" spans="1:17" x14ac:dyDescent="0.25">
      <c r="A25" s="107">
        <v>44742</v>
      </c>
      <c r="B25" s="161" t="s">
        <v>54</v>
      </c>
      <c r="C25" s="162"/>
      <c r="D25" s="163"/>
      <c r="E25" s="176"/>
      <c r="F25" s="118">
        <v>44742</v>
      </c>
      <c r="G25" s="161" t="s">
        <v>54</v>
      </c>
      <c r="H25" s="162"/>
      <c r="I25" s="163"/>
      <c r="K25" s="89">
        <v>44742</v>
      </c>
      <c r="L25" s="208" t="s">
        <v>54</v>
      </c>
      <c r="M25" s="209"/>
      <c r="N25" s="210"/>
      <c r="O25" s="176"/>
      <c r="P25" s="89">
        <v>44742</v>
      </c>
      <c r="Q25" s="98" t="s">
        <v>55</v>
      </c>
    </row>
    <row r="26" spans="1:17" x14ac:dyDescent="0.25">
      <c r="A26" s="94" t="s">
        <v>31</v>
      </c>
      <c r="B26" s="95">
        <f>AVERAGE(B4:B25)</f>
        <v>12989.097619047618</v>
      </c>
      <c r="C26" s="95">
        <f t="shared" ref="C26" si="0">AVERAGE(C4:C25)</f>
        <v>13251.503333333334</v>
      </c>
      <c r="D26" s="95">
        <f>AVERAGE(D4:D25)</f>
        <v>13120.298095238095</v>
      </c>
      <c r="E26" s="176"/>
      <c r="F26" s="88" t="s">
        <v>31</v>
      </c>
      <c r="G26" s="95">
        <f>AVERAGE(G4:G25)</f>
        <v>13702.177142857141</v>
      </c>
      <c r="H26" s="95">
        <f t="shared" ref="H26:I26" si="1">AVERAGE(H4:H25)</f>
        <v>13976.690476190473</v>
      </c>
      <c r="I26" s="95">
        <f t="shared" si="1"/>
        <v>13839.433333333332</v>
      </c>
      <c r="K26" s="88" t="s">
        <v>31</v>
      </c>
      <c r="L26" s="95">
        <f>AVERAGE(L4:L25)</f>
        <v>16018.535714285712</v>
      </c>
      <c r="M26" s="95">
        <f t="shared" ref="M26" si="2">AVERAGE(M4:M25)</f>
        <v>16347.25523809524</v>
      </c>
      <c r="N26" s="95">
        <f>AVERAGE(N4:N25)</f>
        <v>16182.894285714287</v>
      </c>
      <c r="O26" s="176"/>
      <c r="P26" s="88" t="s">
        <v>31</v>
      </c>
      <c r="Q26" s="100">
        <f>AVERAGE(Q4:Q25)</f>
        <v>17573.946190476192</v>
      </c>
    </row>
    <row r="28" spans="1:17" x14ac:dyDescent="0.25">
      <c r="A28" s="45" t="s">
        <v>12</v>
      </c>
      <c r="K28" s="45" t="s">
        <v>12</v>
      </c>
    </row>
    <row r="29" spans="1:17" x14ac:dyDescent="0.25">
      <c r="A29" s="45" t="s">
        <v>13</v>
      </c>
      <c r="K29" s="45" t="s">
        <v>13</v>
      </c>
    </row>
    <row r="30" spans="1:17" x14ac:dyDescent="0.25">
      <c r="A30" s="45" t="s">
        <v>14</v>
      </c>
      <c r="K30" s="45" t="s">
        <v>14</v>
      </c>
    </row>
  </sheetData>
  <mergeCells count="17">
    <mergeCell ref="A1:D1"/>
    <mergeCell ref="F1:I1"/>
    <mergeCell ref="A2:A3"/>
    <mergeCell ref="B2:D2"/>
    <mergeCell ref="E2:E26"/>
    <mergeCell ref="F2:F3"/>
    <mergeCell ref="G2:I2"/>
    <mergeCell ref="B25:D25"/>
    <mergeCell ref="G25:I25"/>
    <mergeCell ref="K1:N1"/>
    <mergeCell ref="P1:Q1"/>
    <mergeCell ref="K2:K3"/>
    <mergeCell ref="L2:N2"/>
    <mergeCell ref="O2:O26"/>
    <mergeCell ref="P2:P3"/>
    <mergeCell ref="Q2:Q3"/>
    <mergeCell ref="L25:N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opLeftCell="E1" workbookViewId="0">
      <selection activeCell="E2" sqref="A1:XFD1048576"/>
    </sheetView>
  </sheetViews>
  <sheetFormatPr defaultRowHeight="15" x14ac:dyDescent="0.25"/>
  <cols>
    <col min="1" max="1" width="13.28515625" customWidth="1"/>
    <col min="2" max="2" width="11.42578125" customWidth="1"/>
    <col min="3" max="3" width="11.5703125" customWidth="1"/>
    <col min="4" max="4" width="11.42578125" customWidth="1"/>
    <col min="5" max="5" width="8.5703125" customWidth="1"/>
    <col min="6" max="6" width="13.5703125" customWidth="1"/>
    <col min="7" max="8" width="12.42578125" customWidth="1"/>
    <col min="9" max="9" width="12.5703125" customWidth="1"/>
    <col min="11" max="11" width="15.28515625" customWidth="1"/>
    <col min="12" max="14" width="15" customWidth="1"/>
    <col min="16" max="16" width="13.7109375" customWidth="1"/>
    <col min="17" max="17" width="13.85546875" customWidth="1"/>
    <col min="18" max="18" width="10.42578125" customWidth="1"/>
  </cols>
  <sheetData>
    <row r="1" spans="1:18" ht="15.75" x14ac:dyDescent="0.25">
      <c r="A1" s="212" t="s">
        <v>56</v>
      </c>
      <c r="B1" s="212"/>
      <c r="C1" s="212"/>
      <c r="D1" s="212"/>
      <c r="E1" s="116"/>
      <c r="F1" s="213" t="s">
        <v>57</v>
      </c>
      <c r="G1" s="213"/>
      <c r="H1" s="213"/>
      <c r="I1" s="213"/>
      <c r="K1" s="214" t="s">
        <v>59</v>
      </c>
      <c r="L1" s="214"/>
      <c r="M1" s="214"/>
      <c r="N1" s="214"/>
      <c r="P1" s="215" t="s">
        <v>60</v>
      </c>
      <c r="Q1" s="215"/>
      <c r="R1" s="215"/>
    </row>
    <row r="2" spans="1:18" x14ac:dyDescent="0.25">
      <c r="A2" s="159" t="s">
        <v>24</v>
      </c>
      <c r="B2" s="218" t="s">
        <v>25</v>
      </c>
      <c r="C2" s="219"/>
      <c r="D2" s="220"/>
      <c r="E2" s="176"/>
      <c r="F2" s="216" t="s">
        <v>24</v>
      </c>
      <c r="G2" s="218" t="s">
        <v>26</v>
      </c>
      <c r="H2" s="219"/>
      <c r="I2" s="220"/>
      <c r="K2" s="216" t="s">
        <v>24</v>
      </c>
      <c r="L2" s="177" t="s">
        <v>33</v>
      </c>
      <c r="M2" s="178"/>
      <c r="N2" s="179"/>
      <c r="P2" s="167" t="s">
        <v>34</v>
      </c>
      <c r="Q2" s="169" t="s">
        <v>35</v>
      </c>
      <c r="R2" s="176"/>
    </row>
    <row r="3" spans="1:18" x14ac:dyDescent="0.25">
      <c r="A3" s="160"/>
      <c r="B3" s="88" t="s">
        <v>27</v>
      </c>
      <c r="C3" s="101" t="s">
        <v>28</v>
      </c>
      <c r="D3" s="88" t="s">
        <v>29</v>
      </c>
      <c r="E3" s="176"/>
      <c r="F3" s="217"/>
      <c r="G3" s="88" t="s">
        <v>27</v>
      </c>
      <c r="H3" s="88" t="s">
        <v>28</v>
      </c>
      <c r="I3" s="88" t="s">
        <v>29</v>
      </c>
      <c r="K3" s="217"/>
      <c r="L3" s="88" t="s">
        <v>27</v>
      </c>
      <c r="M3" s="101" t="s">
        <v>28</v>
      </c>
      <c r="N3" s="88" t="s">
        <v>29</v>
      </c>
      <c r="P3" s="168"/>
      <c r="Q3" s="170"/>
      <c r="R3" s="176"/>
    </row>
    <row r="4" spans="1:18" x14ac:dyDescent="0.25">
      <c r="A4" s="89">
        <v>44743</v>
      </c>
      <c r="B4" s="121">
        <v>13.4</v>
      </c>
      <c r="C4" s="122">
        <v>13.67</v>
      </c>
      <c r="D4" s="121">
        <v>13.54</v>
      </c>
      <c r="E4" s="176"/>
      <c r="F4" s="123">
        <v>44743</v>
      </c>
      <c r="G4" s="121">
        <v>13.9</v>
      </c>
      <c r="H4" s="121">
        <v>14.18</v>
      </c>
      <c r="I4" s="121">
        <v>14.04</v>
      </c>
      <c r="K4" s="89">
        <v>44743</v>
      </c>
      <c r="L4" s="121">
        <v>16.07</v>
      </c>
      <c r="M4" s="126">
        <v>16.399999999999999</v>
      </c>
      <c r="N4" s="121">
        <v>16.23</v>
      </c>
      <c r="P4" s="89">
        <v>44743</v>
      </c>
      <c r="Q4" s="121">
        <v>17.97</v>
      </c>
      <c r="R4" s="176"/>
    </row>
    <row r="5" spans="1:18" x14ac:dyDescent="0.25">
      <c r="A5" s="89">
        <v>44746</v>
      </c>
      <c r="B5" s="121">
        <v>13.55</v>
      </c>
      <c r="C5" s="122">
        <v>13.82</v>
      </c>
      <c r="D5" s="121">
        <v>13.68</v>
      </c>
      <c r="E5" s="176"/>
      <c r="F5" s="123">
        <v>44746</v>
      </c>
      <c r="G5" s="121">
        <v>14.12</v>
      </c>
      <c r="H5" s="121">
        <v>14.4</v>
      </c>
      <c r="I5" s="121">
        <v>14.26</v>
      </c>
      <c r="K5" s="89">
        <v>44746</v>
      </c>
      <c r="L5" s="121">
        <v>16.399999999999999</v>
      </c>
      <c r="M5" s="126">
        <v>16.75</v>
      </c>
      <c r="N5" s="121">
        <v>16.579999999999998</v>
      </c>
      <c r="P5" s="89">
        <v>44746</v>
      </c>
      <c r="Q5" s="121">
        <v>18.2</v>
      </c>
      <c r="R5" s="176"/>
    </row>
    <row r="6" spans="1:18" x14ac:dyDescent="0.25">
      <c r="A6" s="89">
        <v>44747</v>
      </c>
      <c r="B6" s="121">
        <v>13.42</v>
      </c>
      <c r="C6" s="122">
        <v>13.69</v>
      </c>
      <c r="D6" s="121">
        <v>13.55</v>
      </c>
      <c r="E6" s="176"/>
      <c r="F6" s="123">
        <v>44747</v>
      </c>
      <c r="G6" s="121">
        <v>13.92</v>
      </c>
      <c r="H6" s="121">
        <v>14.2</v>
      </c>
      <c r="I6" s="121">
        <v>14.06</v>
      </c>
      <c r="K6" s="89">
        <v>44747</v>
      </c>
      <c r="L6" s="121">
        <v>16.21</v>
      </c>
      <c r="M6" s="126">
        <v>16.54</v>
      </c>
      <c r="N6" s="121">
        <v>16.38</v>
      </c>
      <c r="P6" s="89">
        <v>44747</v>
      </c>
      <c r="Q6" s="121">
        <v>18.03</v>
      </c>
      <c r="R6" s="176"/>
    </row>
    <row r="7" spans="1:18" x14ac:dyDescent="0.25">
      <c r="A7" s="89">
        <v>44748</v>
      </c>
      <c r="B7" s="121">
        <v>13.44</v>
      </c>
      <c r="C7" s="122">
        <v>13.71</v>
      </c>
      <c r="D7" s="121">
        <v>13.58</v>
      </c>
      <c r="E7" s="176"/>
      <c r="F7" s="123">
        <v>44748</v>
      </c>
      <c r="G7" s="121">
        <v>13.79</v>
      </c>
      <c r="H7" s="121">
        <v>14.07</v>
      </c>
      <c r="I7" s="121">
        <v>13.93</v>
      </c>
      <c r="K7" s="89">
        <v>44748</v>
      </c>
      <c r="L7" s="121">
        <v>16.09</v>
      </c>
      <c r="M7" s="126">
        <v>16.420000000000002</v>
      </c>
      <c r="N7" s="121">
        <v>16.260000000000002</v>
      </c>
      <c r="P7" s="89">
        <v>44748</v>
      </c>
      <c r="Q7" s="121">
        <v>17.96</v>
      </c>
      <c r="R7" s="176"/>
    </row>
    <row r="8" spans="1:18" x14ac:dyDescent="0.25">
      <c r="A8" s="89">
        <v>44749</v>
      </c>
      <c r="B8" s="121">
        <v>13.56</v>
      </c>
      <c r="C8" s="122">
        <v>13.83</v>
      </c>
      <c r="D8" s="121">
        <v>13.69</v>
      </c>
      <c r="E8" s="176"/>
      <c r="F8" s="123">
        <v>44749</v>
      </c>
      <c r="G8" s="121">
        <v>13.81</v>
      </c>
      <c r="H8" s="121">
        <v>14.09</v>
      </c>
      <c r="I8" s="121">
        <v>13.95</v>
      </c>
      <c r="K8" s="89">
        <v>44749</v>
      </c>
      <c r="L8" s="121">
        <v>16.190000000000001</v>
      </c>
      <c r="M8" s="126">
        <v>16.52</v>
      </c>
      <c r="N8" s="121">
        <v>16.350000000000001</v>
      </c>
      <c r="P8" s="89">
        <v>44749</v>
      </c>
      <c r="Q8" s="121">
        <v>18.059999999999999</v>
      </c>
      <c r="R8" s="176"/>
    </row>
    <row r="9" spans="1:18" x14ac:dyDescent="0.25">
      <c r="A9" s="89">
        <v>44750</v>
      </c>
      <c r="B9" s="121">
        <v>13.5</v>
      </c>
      <c r="C9" s="122">
        <v>13.77</v>
      </c>
      <c r="D9" s="121">
        <v>13.63</v>
      </c>
      <c r="E9" s="176"/>
      <c r="F9" s="123">
        <v>44750</v>
      </c>
      <c r="G9" s="121">
        <v>13.61</v>
      </c>
      <c r="H9" s="121">
        <v>13.88</v>
      </c>
      <c r="I9" s="121">
        <v>13.74</v>
      </c>
      <c r="K9" s="89">
        <v>44750</v>
      </c>
      <c r="L9" s="121">
        <v>16.100000000000001</v>
      </c>
      <c r="M9" s="126">
        <v>16.440000000000001</v>
      </c>
      <c r="N9" s="121">
        <v>16.27</v>
      </c>
      <c r="P9" s="89">
        <v>44750</v>
      </c>
      <c r="Q9" s="121">
        <v>17.98</v>
      </c>
      <c r="R9" s="176"/>
    </row>
    <row r="10" spans="1:18" x14ac:dyDescent="0.25">
      <c r="A10" s="89">
        <v>44754</v>
      </c>
      <c r="B10" s="121">
        <v>13.6</v>
      </c>
      <c r="C10" s="122">
        <v>13.88</v>
      </c>
      <c r="D10" s="121">
        <v>13.74</v>
      </c>
      <c r="E10" s="176"/>
      <c r="F10" s="123">
        <v>44754</v>
      </c>
      <c r="G10" s="121">
        <v>13.62</v>
      </c>
      <c r="H10" s="121">
        <v>13.89</v>
      </c>
      <c r="I10" s="121">
        <v>13.75</v>
      </c>
      <c r="K10" s="89">
        <v>44754</v>
      </c>
      <c r="L10" s="121">
        <v>16.11</v>
      </c>
      <c r="M10" s="126">
        <v>16.440000000000001</v>
      </c>
      <c r="N10" s="121">
        <v>16.27</v>
      </c>
      <c r="P10" s="89">
        <v>44754</v>
      </c>
      <c r="Q10" s="121">
        <v>18.07</v>
      </c>
      <c r="R10" s="176"/>
    </row>
    <row r="11" spans="1:18" x14ac:dyDescent="0.25">
      <c r="A11" s="89">
        <v>44755</v>
      </c>
      <c r="B11" s="121">
        <v>13.59</v>
      </c>
      <c r="C11" s="122">
        <v>13.86</v>
      </c>
      <c r="D11" s="121">
        <v>13.73</v>
      </c>
      <c r="E11" s="176"/>
      <c r="F11" s="123">
        <v>44755</v>
      </c>
      <c r="G11" s="121">
        <v>13.64</v>
      </c>
      <c r="H11" s="121">
        <v>13.91</v>
      </c>
      <c r="I11" s="121">
        <v>13.77</v>
      </c>
      <c r="K11" s="89">
        <v>44755</v>
      </c>
      <c r="L11" s="121">
        <v>16.18</v>
      </c>
      <c r="M11" s="126">
        <v>16.510000000000002</v>
      </c>
      <c r="N11" s="121">
        <v>16.350000000000001</v>
      </c>
      <c r="P11" s="89">
        <v>44755</v>
      </c>
      <c r="Q11" s="121">
        <v>17.98</v>
      </c>
      <c r="R11" s="176"/>
    </row>
    <row r="12" spans="1:18" x14ac:dyDescent="0.25">
      <c r="A12" s="89">
        <v>44756</v>
      </c>
      <c r="B12" s="121">
        <v>13.46</v>
      </c>
      <c r="C12" s="122">
        <v>13.74</v>
      </c>
      <c r="D12" s="121">
        <v>13.6</v>
      </c>
      <c r="E12" s="176"/>
      <c r="F12" s="123">
        <v>44756</v>
      </c>
      <c r="G12" s="121">
        <v>13.51</v>
      </c>
      <c r="H12" s="121">
        <v>13.77</v>
      </c>
      <c r="I12" s="121">
        <v>13.64</v>
      </c>
      <c r="K12" s="89">
        <v>44756</v>
      </c>
      <c r="L12" s="121">
        <v>15.97</v>
      </c>
      <c r="M12" s="126">
        <v>16.29</v>
      </c>
      <c r="N12" s="121">
        <v>16.13</v>
      </c>
      <c r="P12" s="89">
        <v>44756</v>
      </c>
      <c r="Q12" s="121">
        <v>17.84</v>
      </c>
      <c r="R12" s="176"/>
    </row>
    <row r="13" spans="1:18" x14ac:dyDescent="0.25">
      <c r="A13" s="89">
        <v>44757</v>
      </c>
      <c r="B13" s="121">
        <v>13.61</v>
      </c>
      <c r="C13" s="122">
        <v>13.89</v>
      </c>
      <c r="D13" s="121">
        <v>13.75</v>
      </c>
      <c r="E13" s="176"/>
      <c r="F13" s="123">
        <v>44757</v>
      </c>
      <c r="G13" s="121">
        <v>13.66</v>
      </c>
      <c r="H13" s="121">
        <v>13.93</v>
      </c>
      <c r="I13" s="121">
        <v>13.8</v>
      </c>
      <c r="K13" s="89">
        <v>44757</v>
      </c>
      <c r="L13" s="121">
        <v>16.12</v>
      </c>
      <c r="M13" s="126">
        <v>16.45</v>
      </c>
      <c r="N13" s="121">
        <v>16.28</v>
      </c>
      <c r="P13" s="89">
        <v>44757</v>
      </c>
      <c r="Q13" s="121">
        <v>17.98</v>
      </c>
      <c r="R13" s="176"/>
    </row>
    <row r="14" spans="1:18" x14ac:dyDescent="0.25">
      <c r="A14" s="89">
        <v>44760</v>
      </c>
      <c r="B14" s="121">
        <v>13.6</v>
      </c>
      <c r="C14" s="122">
        <v>13.88</v>
      </c>
      <c r="D14" s="121">
        <v>13.74</v>
      </c>
      <c r="E14" s="176"/>
      <c r="F14" s="123">
        <v>44760</v>
      </c>
      <c r="G14" s="121">
        <v>13.8</v>
      </c>
      <c r="H14" s="121">
        <v>14.08</v>
      </c>
      <c r="I14" s="121">
        <v>13.94</v>
      </c>
      <c r="K14" s="89">
        <v>44760</v>
      </c>
      <c r="L14" s="121">
        <v>16.260000000000002</v>
      </c>
      <c r="M14" s="126">
        <v>16.59</v>
      </c>
      <c r="N14" s="121">
        <v>16.43</v>
      </c>
      <c r="P14" s="89">
        <v>44760</v>
      </c>
      <c r="Q14" s="121">
        <v>17.989999999999998</v>
      </c>
      <c r="R14" s="176"/>
    </row>
    <row r="15" spans="1:18" x14ac:dyDescent="0.25">
      <c r="A15" s="89">
        <v>44761</v>
      </c>
      <c r="B15" s="121">
        <v>13.66</v>
      </c>
      <c r="C15" s="122">
        <v>13.94</v>
      </c>
      <c r="D15" s="121">
        <v>13.8</v>
      </c>
      <c r="E15" s="176"/>
      <c r="F15" s="123">
        <v>44761</v>
      </c>
      <c r="G15" s="121">
        <v>13.96</v>
      </c>
      <c r="H15" s="121">
        <v>14.24</v>
      </c>
      <c r="I15" s="121">
        <v>14.1</v>
      </c>
      <c r="K15" s="89">
        <v>44761</v>
      </c>
      <c r="L15" s="121">
        <v>16.39</v>
      </c>
      <c r="M15" s="126">
        <v>16.72</v>
      </c>
      <c r="N15" s="121">
        <v>16.559999999999999</v>
      </c>
      <c r="P15" s="89">
        <v>44761</v>
      </c>
      <c r="Q15" s="121">
        <v>18.149999999999999</v>
      </c>
      <c r="R15" s="176"/>
    </row>
    <row r="16" spans="1:18" x14ac:dyDescent="0.25">
      <c r="A16" s="89">
        <v>44762</v>
      </c>
      <c r="B16" s="121">
        <v>13.66</v>
      </c>
      <c r="C16" s="122">
        <v>13.8</v>
      </c>
      <c r="D16" s="121">
        <v>13.73</v>
      </c>
      <c r="E16" s="176"/>
      <c r="F16" s="123">
        <v>44762</v>
      </c>
      <c r="G16" s="121">
        <v>13.97</v>
      </c>
      <c r="H16" s="121">
        <v>14.11</v>
      </c>
      <c r="I16" s="121">
        <v>14.04</v>
      </c>
      <c r="K16" s="89">
        <v>44762</v>
      </c>
      <c r="L16" s="121">
        <v>16.38</v>
      </c>
      <c r="M16" s="126">
        <v>16.55</v>
      </c>
      <c r="N16" s="121">
        <v>16.47</v>
      </c>
      <c r="P16" s="89">
        <v>44762</v>
      </c>
      <c r="Q16" s="121">
        <v>18.13</v>
      </c>
      <c r="R16" s="176"/>
    </row>
    <row r="17" spans="1:18" x14ac:dyDescent="0.25">
      <c r="A17" s="89">
        <v>44763</v>
      </c>
      <c r="B17" s="121">
        <v>13.7</v>
      </c>
      <c r="C17" s="122">
        <v>13.84</v>
      </c>
      <c r="D17" s="121">
        <v>13.77</v>
      </c>
      <c r="E17" s="176"/>
      <c r="F17" s="123">
        <v>44763</v>
      </c>
      <c r="G17" s="121">
        <v>13.97</v>
      </c>
      <c r="H17" s="121">
        <v>14.11</v>
      </c>
      <c r="I17" s="121">
        <v>14.04</v>
      </c>
      <c r="K17" s="89">
        <v>44763</v>
      </c>
      <c r="L17" s="121">
        <v>16.36</v>
      </c>
      <c r="M17" s="126">
        <v>16.52</v>
      </c>
      <c r="N17" s="121">
        <v>16.440000000000001</v>
      </c>
      <c r="P17" s="89">
        <v>44763</v>
      </c>
      <c r="Q17" s="121">
        <v>18.12</v>
      </c>
      <c r="R17" s="176"/>
    </row>
    <row r="18" spans="1:18" x14ac:dyDescent="0.25">
      <c r="A18" s="89">
        <v>44764</v>
      </c>
      <c r="B18" s="121">
        <v>13.61</v>
      </c>
      <c r="C18" s="122">
        <v>13.88</v>
      </c>
      <c r="D18" s="121">
        <v>13.74</v>
      </c>
      <c r="E18" s="176"/>
      <c r="F18" s="123">
        <v>44764</v>
      </c>
      <c r="G18" s="121">
        <v>13.8</v>
      </c>
      <c r="H18" s="121">
        <v>14.08</v>
      </c>
      <c r="I18" s="121">
        <v>13.94</v>
      </c>
      <c r="K18" s="89">
        <v>44764</v>
      </c>
      <c r="L18" s="121">
        <v>16.239999999999998</v>
      </c>
      <c r="M18" s="126">
        <v>16.57</v>
      </c>
      <c r="N18" s="121">
        <v>16.399999999999999</v>
      </c>
      <c r="P18" s="89">
        <v>44764</v>
      </c>
      <c r="Q18" s="121">
        <v>18.079999999999998</v>
      </c>
      <c r="R18" s="176"/>
    </row>
    <row r="19" spans="1:18" x14ac:dyDescent="0.25">
      <c r="A19" s="89">
        <v>44767</v>
      </c>
      <c r="B19" s="121">
        <v>13.75</v>
      </c>
      <c r="C19" s="122">
        <v>13.89</v>
      </c>
      <c r="D19" s="121">
        <v>13.82</v>
      </c>
      <c r="E19" s="176"/>
      <c r="F19" s="123">
        <v>44767</v>
      </c>
      <c r="G19" s="121">
        <v>14.03</v>
      </c>
      <c r="H19" s="121">
        <v>14.16</v>
      </c>
      <c r="I19" s="121">
        <v>14.1</v>
      </c>
      <c r="K19" s="89">
        <v>44767</v>
      </c>
      <c r="L19" s="121">
        <v>16.5</v>
      </c>
      <c r="M19" s="126">
        <v>16.670000000000002</v>
      </c>
      <c r="N19" s="121">
        <v>16.579999999999998</v>
      </c>
      <c r="P19" s="89">
        <v>44767</v>
      </c>
      <c r="Q19" s="121">
        <v>18.18</v>
      </c>
      <c r="R19" s="176"/>
    </row>
    <row r="20" spans="1:18" x14ac:dyDescent="0.25">
      <c r="A20" s="89">
        <v>44768</v>
      </c>
      <c r="B20" s="121">
        <v>13.76</v>
      </c>
      <c r="C20" s="122">
        <v>13.9</v>
      </c>
      <c r="D20" s="121">
        <v>13.83</v>
      </c>
      <c r="E20" s="176"/>
      <c r="F20" s="123">
        <v>44768</v>
      </c>
      <c r="G20" s="121">
        <v>14.06</v>
      </c>
      <c r="H20" s="121">
        <v>14.2</v>
      </c>
      <c r="I20" s="121">
        <v>14.13</v>
      </c>
      <c r="K20" s="89">
        <v>44768</v>
      </c>
      <c r="L20" s="121">
        <v>16.57</v>
      </c>
      <c r="M20" s="126">
        <v>16.739999999999998</v>
      </c>
      <c r="N20" s="121">
        <v>16.66</v>
      </c>
      <c r="P20" s="89">
        <v>44768</v>
      </c>
      <c r="Q20" s="121">
        <v>18.25</v>
      </c>
      <c r="R20" s="176"/>
    </row>
    <row r="21" spans="1:18" x14ac:dyDescent="0.25">
      <c r="A21" s="89">
        <v>44769</v>
      </c>
      <c r="B21" s="121">
        <v>13.83</v>
      </c>
      <c r="C21" s="122">
        <v>13.96</v>
      </c>
      <c r="D21" s="121">
        <v>13.89</v>
      </c>
      <c r="E21" s="176"/>
      <c r="F21" s="123">
        <v>44769</v>
      </c>
      <c r="G21" s="121">
        <v>14.02</v>
      </c>
      <c r="H21" s="121">
        <v>14.16</v>
      </c>
      <c r="I21" s="121">
        <v>14.09</v>
      </c>
      <c r="K21" s="89">
        <v>44769</v>
      </c>
      <c r="L21" s="121">
        <v>16.649999999999999</v>
      </c>
      <c r="M21" s="126">
        <v>16.82</v>
      </c>
      <c r="N21" s="121">
        <v>16.73</v>
      </c>
      <c r="P21" s="89">
        <v>44769</v>
      </c>
      <c r="Q21" s="121">
        <v>18.28</v>
      </c>
      <c r="R21" s="176"/>
    </row>
    <row r="22" spans="1:18" x14ac:dyDescent="0.25">
      <c r="A22" s="89">
        <v>44770</v>
      </c>
      <c r="B22" s="121">
        <v>13.84</v>
      </c>
      <c r="C22" s="122">
        <v>13.98</v>
      </c>
      <c r="D22" s="121">
        <v>13.91</v>
      </c>
      <c r="E22" s="176"/>
      <c r="F22" s="123">
        <v>44770</v>
      </c>
      <c r="G22" s="121">
        <v>14.11</v>
      </c>
      <c r="H22" s="121">
        <v>14.25</v>
      </c>
      <c r="I22" s="121">
        <v>14.18</v>
      </c>
      <c r="K22" s="89">
        <v>44770</v>
      </c>
      <c r="L22" s="121">
        <v>16.829999999999998</v>
      </c>
      <c r="M22" s="126">
        <v>17.010000000000002</v>
      </c>
      <c r="N22" s="121">
        <v>16.920000000000002</v>
      </c>
      <c r="P22" s="89">
        <v>44770</v>
      </c>
      <c r="Q22" s="121">
        <v>18.32</v>
      </c>
      <c r="R22" s="176"/>
    </row>
    <row r="23" spans="1:18" x14ac:dyDescent="0.25">
      <c r="A23" s="89">
        <v>44771</v>
      </c>
      <c r="B23" s="121">
        <v>13.81</v>
      </c>
      <c r="C23" s="122">
        <v>13.95</v>
      </c>
      <c r="D23" s="121">
        <v>13.88</v>
      </c>
      <c r="E23" s="176"/>
      <c r="F23" s="123">
        <v>44771</v>
      </c>
      <c r="G23" s="121">
        <v>14.13</v>
      </c>
      <c r="H23" s="121">
        <v>14.27</v>
      </c>
      <c r="I23" s="121">
        <v>14.2</v>
      </c>
      <c r="K23" s="89">
        <v>44771</v>
      </c>
      <c r="L23" s="121">
        <v>16.86</v>
      </c>
      <c r="M23" s="126">
        <v>17.03</v>
      </c>
      <c r="N23" s="121">
        <v>16.95</v>
      </c>
      <c r="P23" s="89">
        <v>44771</v>
      </c>
      <c r="Q23" s="121">
        <v>18.28</v>
      </c>
      <c r="R23" s="176"/>
    </row>
    <row r="24" spans="1:18" ht="15.75" x14ac:dyDescent="0.25">
      <c r="A24" s="94" t="s">
        <v>31</v>
      </c>
      <c r="B24" s="124">
        <f>AVERAGE(B4:B23)</f>
        <v>13.617499999999998</v>
      </c>
      <c r="C24" s="124">
        <f t="shared" ref="C24:D24" si="0">AVERAGE(C4:C23)</f>
        <v>13.843999999999999</v>
      </c>
      <c r="D24" s="124">
        <f t="shared" si="0"/>
        <v>13.73</v>
      </c>
      <c r="E24" s="176"/>
      <c r="F24" s="125" t="s">
        <v>58</v>
      </c>
      <c r="G24" s="124">
        <f>AVERAGE(G4:G23)</f>
        <v>13.871500000000003</v>
      </c>
      <c r="H24" s="124">
        <f t="shared" ref="H24:I24" si="1">AVERAGE(H4:H23)</f>
        <v>14.099</v>
      </c>
      <c r="I24" s="124">
        <f t="shared" si="1"/>
        <v>13.984999999999996</v>
      </c>
      <c r="K24" s="88" t="s">
        <v>31</v>
      </c>
      <c r="L24" s="124">
        <f>AVERAGE(L4:L23)</f>
        <v>16.323999999999998</v>
      </c>
      <c r="M24" s="124">
        <f t="shared" ref="M24:N24" si="2">AVERAGE(M4:M23)</f>
        <v>16.599</v>
      </c>
      <c r="N24" s="124">
        <f t="shared" si="2"/>
        <v>16.462000000000003</v>
      </c>
      <c r="P24" s="125" t="s">
        <v>58</v>
      </c>
      <c r="Q24" s="124">
        <f>AVERAGE(Q4:Q23)</f>
        <v>18.092500000000001</v>
      </c>
      <c r="R24" s="176"/>
    </row>
    <row r="25" spans="1:18" s="51" customFormat="1" ht="15.75" x14ac:dyDescent="0.25">
      <c r="A25" s="129"/>
      <c r="B25" s="130"/>
      <c r="C25" s="130"/>
      <c r="D25" s="130"/>
      <c r="E25" s="131"/>
      <c r="F25" s="132"/>
      <c r="G25" s="130"/>
      <c r="H25" s="130"/>
      <c r="I25" s="130"/>
      <c r="K25" s="129"/>
      <c r="L25" s="130"/>
      <c r="M25" s="130"/>
      <c r="N25" s="130"/>
      <c r="P25" s="132"/>
      <c r="Q25" s="130"/>
      <c r="R25" s="131"/>
    </row>
    <row r="26" spans="1:18" s="51" customFormat="1" ht="15.75" x14ac:dyDescent="0.25">
      <c r="A26" s="45" t="s">
        <v>12</v>
      </c>
      <c r="B26" s="130"/>
      <c r="C26" s="130"/>
      <c r="D26" s="130"/>
      <c r="E26" s="131"/>
      <c r="F26" s="132"/>
      <c r="G26" s="130"/>
      <c r="H26" s="130"/>
      <c r="I26" s="130"/>
      <c r="K26" s="45" t="s">
        <v>12</v>
      </c>
      <c r="L26" s="130"/>
      <c r="M26" s="130"/>
      <c r="N26" s="130"/>
      <c r="P26" s="132"/>
      <c r="Q26" s="130"/>
      <c r="R26" s="131"/>
    </row>
    <row r="27" spans="1:18" x14ac:dyDescent="0.25">
      <c r="A27" s="45" t="s">
        <v>13</v>
      </c>
      <c r="K27" s="45" t="s">
        <v>13</v>
      </c>
    </row>
    <row r="28" spans="1:18" x14ac:dyDescent="0.25">
      <c r="A28" s="45" t="s">
        <v>14</v>
      </c>
      <c r="K28" s="45" t="s">
        <v>14</v>
      </c>
    </row>
    <row r="31" spans="1:18" s="51" customFormat="1" ht="15.75" x14ac:dyDescent="0.25">
      <c r="A31" s="212" t="s">
        <v>56</v>
      </c>
      <c r="B31" s="212"/>
      <c r="C31" s="212"/>
      <c r="D31" s="212"/>
      <c r="E31" s="116"/>
      <c r="F31" s="213" t="s">
        <v>57</v>
      </c>
      <c r="G31" s="213"/>
      <c r="H31" s="213"/>
      <c r="I31" s="213"/>
      <c r="K31" s="214" t="s">
        <v>59</v>
      </c>
      <c r="L31" s="214"/>
      <c r="M31" s="214"/>
      <c r="N31" s="214"/>
      <c r="P31" s="215" t="s">
        <v>60</v>
      </c>
      <c r="Q31" s="215"/>
      <c r="R31" s="215"/>
    </row>
    <row r="32" spans="1:18" x14ac:dyDescent="0.25">
      <c r="A32" s="171" t="s">
        <v>24</v>
      </c>
      <c r="B32" s="173" t="s">
        <v>25</v>
      </c>
      <c r="C32" s="174"/>
      <c r="D32" s="175"/>
      <c r="E32" s="176"/>
      <c r="F32" s="171" t="s">
        <v>24</v>
      </c>
      <c r="G32" s="177" t="s">
        <v>26</v>
      </c>
      <c r="H32" s="178"/>
      <c r="I32" s="179"/>
      <c r="K32" s="159" t="s">
        <v>24</v>
      </c>
      <c r="L32" s="180" t="s">
        <v>33</v>
      </c>
      <c r="M32" s="181"/>
      <c r="N32" s="182"/>
      <c r="P32" s="167" t="s">
        <v>34</v>
      </c>
      <c r="Q32" s="169" t="s">
        <v>35</v>
      </c>
    </row>
    <row r="33" spans="1:17" x14ac:dyDescent="0.25">
      <c r="A33" s="172"/>
      <c r="B33" s="88" t="s">
        <v>27</v>
      </c>
      <c r="C33" s="88" t="s">
        <v>28</v>
      </c>
      <c r="D33" s="88" t="s">
        <v>29</v>
      </c>
      <c r="E33" s="176"/>
      <c r="F33" s="172"/>
      <c r="G33" s="88" t="s">
        <v>27</v>
      </c>
      <c r="H33" s="88" t="s">
        <v>28</v>
      </c>
      <c r="I33" s="88" t="s">
        <v>29</v>
      </c>
      <c r="K33" s="160"/>
      <c r="L33" s="88" t="s">
        <v>27</v>
      </c>
      <c r="M33" s="88" t="s">
        <v>28</v>
      </c>
      <c r="N33" s="98" t="s">
        <v>29</v>
      </c>
      <c r="P33" s="168"/>
      <c r="Q33" s="170"/>
    </row>
    <row r="34" spans="1:17" x14ac:dyDescent="0.25">
      <c r="A34" s="89">
        <v>44743</v>
      </c>
      <c r="B34" s="90">
        <v>13399.9</v>
      </c>
      <c r="C34" s="90">
        <v>13670.6</v>
      </c>
      <c r="D34" s="90">
        <v>13535.25</v>
      </c>
      <c r="E34" s="176"/>
      <c r="F34" s="89">
        <v>44743</v>
      </c>
      <c r="G34" s="90">
        <v>13900.7</v>
      </c>
      <c r="H34" s="90">
        <v>14180.1</v>
      </c>
      <c r="I34" s="90">
        <v>14040.4</v>
      </c>
      <c r="K34" s="89">
        <v>44743</v>
      </c>
      <c r="L34" s="90">
        <v>16069.2</v>
      </c>
      <c r="M34" s="90">
        <v>16399.3</v>
      </c>
      <c r="N34" s="99">
        <v>16234.25</v>
      </c>
      <c r="P34" s="89">
        <v>44743</v>
      </c>
      <c r="Q34" s="127">
        <v>17972.8</v>
      </c>
    </row>
    <row r="35" spans="1:17" x14ac:dyDescent="0.25">
      <c r="A35" s="89">
        <v>44746</v>
      </c>
      <c r="B35" s="90">
        <v>13547.3</v>
      </c>
      <c r="C35" s="90">
        <v>13821</v>
      </c>
      <c r="D35" s="90">
        <v>13684.15</v>
      </c>
      <c r="E35" s="176"/>
      <c r="F35" s="89">
        <v>44746</v>
      </c>
      <c r="G35" s="90">
        <v>14118.6</v>
      </c>
      <c r="H35" s="90">
        <v>14404.8</v>
      </c>
      <c r="I35" s="90">
        <v>14261.7</v>
      </c>
      <c r="K35" s="89">
        <v>44746</v>
      </c>
      <c r="L35" s="90">
        <v>16404.400000000001</v>
      </c>
      <c r="M35" s="90">
        <v>16745.5</v>
      </c>
      <c r="N35" s="99">
        <v>16574.95</v>
      </c>
      <c r="P35" s="89">
        <v>44746</v>
      </c>
      <c r="Q35" s="127">
        <v>18199.400000000001</v>
      </c>
    </row>
    <row r="36" spans="1:17" x14ac:dyDescent="0.25">
      <c r="A36" s="89">
        <v>44747</v>
      </c>
      <c r="B36" s="90">
        <v>13418.2</v>
      </c>
      <c r="C36" s="90">
        <v>13689.3</v>
      </c>
      <c r="D36" s="90">
        <v>13553.75</v>
      </c>
      <c r="E36" s="176"/>
      <c r="F36" s="89">
        <v>44747</v>
      </c>
      <c r="G36" s="90">
        <v>13920.6</v>
      </c>
      <c r="H36" s="90">
        <v>14200.5</v>
      </c>
      <c r="I36" s="90">
        <v>14060.55</v>
      </c>
      <c r="K36" s="89">
        <v>44747</v>
      </c>
      <c r="L36" s="90">
        <v>16209.2</v>
      </c>
      <c r="M36" s="90">
        <v>16542.2</v>
      </c>
      <c r="N36" s="99">
        <v>16375.7</v>
      </c>
      <c r="P36" s="89">
        <v>44747</v>
      </c>
      <c r="Q36" s="127">
        <v>18026.099999999999</v>
      </c>
    </row>
    <row r="37" spans="1:17" x14ac:dyDescent="0.25">
      <c r="A37" s="89">
        <v>44748</v>
      </c>
      <c r="B37" s="90">
        <v>13439.3</v>
      </c>
      <c r="C37" s="90">
        <v>13710.8</v>
      </c>
      <c r="D37" s="90">
        <v>13575.05</v>
      </c>
      <c r="E37" s="176"/>
      <c r="F37" s="89">
        <v>44748</v>
      </c>
      <c r="G37" s="90">
        <v>13794.1</v>
      </c>
      <c r="H37" s="90">
        <v>14071.5</v>
      </c>
      <c r="I37" s="90">
        <v>13932.8</v>
      </c>
      <c r="K37" s="89">
        <v>44748</v>
      </c>
      <c r="L37" s="90">
        <v>16090.9</v>
      </c>
      <c r="M37" s="90">
        <v>16422.8</v>
      </c>
      <c r="N37" s="99">
        <v>16256.85</v>
      </c>
      <c r="P37" s="89">
        <v>44748</v>
      </c>
      <c r="Q37" s="127">
        <v>17963.599999999999</v>
      </c>
    </row>
    <row r="38" spans="1:17" x14ac:dyDescent="0.25">
      <c r="A38" s="89">
        <v>44749</v>
      </c>
      <c r="B38" s="90">
        <v>13557.5</v>
      </c>
      <c r="C38" s="90">
        <v>13831.4</v>
      </c>
      <c r="D38" s="90">
        <v>13694.45</v>
      </c>
      <c r="E38" s="176"/>
      <c r="F38" s="89">
        <v>44749</v>
      </c>
      <c r="G38" s="90">
        <v>13813.2</v>
      </c>
      <c r="H38" s="90">
        <v>14089.7</v>
      </c>
      <c r="I38" s="90">
        <v>13951.45</v>
      </c>
      <c r="K38" s="89">
        <v>44749</v>
      </c>
      <c r="L38" s="90">
        <v>16187.7</v>
      </c>
      <c r="M38" s="90">
        <v>16520.2</v>
      </c>
      <c r="N38" s="99">
        <v>16353.95</v>
      </c>
      <c r="P38" s="89">
        <v>44749</v>
      </c>
      <c r="Q38" s="127">
        <v>18059.3</v>
      </c>
    </row>
    <row r="39" spans="1:17" x14ac:dyDescent="0.25">
      <c r="A39" s="89">
        <v>44750</v>
      </c>
      <c r="B39" s="90">
        <v>13496.8</v>
      </c>
      <c r="C39" s="90">
        <v>13769.5</v>
      </c>
      <c r="D39" s="90">
        <v>13633.15</v>
      </c>
      <c r="E39" s="176"/>
      <c r="F39" s="89">
        <v>44750</v>
      </c>
      <c r="G39" s="90">
        <v>13606.3</v>
      </c>
      <c r="H39" s="90">
        <v>13881.1</v>
      </c>
      <c r="I39" s="90">
        <v>13743.7</v>
      </c>
      <c r="K39" s="89">
        <v>44750</v>
      </c>
      <c r="L39" s="90">
        <v>16103</v>
      </c>
      <c r="M39" s="90">
        <v>16435.3</v>
      </c>
      <c r="N39" s="99">
        <v>16269.15</v>
      </c>
      <c r="P39" s="89">
        <v>44750</v>
      </c>
      <c r="Q39" s="127">
        <v>17981</v>
      </c>
    </row>
    <row r="40" spans="1:17" x14ac:dyDescent="0.25">
      <c r="A40" s="89">
        <v>44754</v>
      </c>
      <c r="B40" s="90">
        <v>13602.8</v>
      </c>
      <c r="C40" s="90">
        <v>13877.7</v>
      </c>
      <c r="D40" s="90">
        <v>13740.25</v>
      </c>
      <c r="E40" s="176"/>
      <c r="F40" s="89">
        <v>44754</v>
      </c>
      <c r="G40" s="90">
        <v>13618.9</v>
      </c>
      <c r="H40" s="90">
        <v>13890.6</v>
      </c>
      <c r="I40" s="90">
        <v>13754.75</v>
      </c>
      <c r="K40" s="89">
        <v>44754</v>
      </c>
      <c r="L40" s="90">
        <v>16108.4</v>
      </c>
      <c r="M40" s="90">
        <v>16438.099999999999</v>
      </c>
      <c r="N40" s="99">
        <v>16273.25</v>
      </c>
      <c r="P40" s="89">
        <v>44754</v>
      </c>
      <c r="Q40" s="127">
        <v>18067.3</v>
      </c>
    </row>
    <row r="41" spans="1:17" x14ac:dyDescent="0.25">
      <c r="A41" s="89">
        <v>44755</v>
      </c>
      <c r="B41" s="90">
        <v>13588.3</v>
      </c>
      <c r="C41" s="90">
        <v>13862.9</v>
      </c>
      <c r="D41" s="90">
        <v>13725.6</v>
      </c>
      <c r="E41" s="176"/>
      <c r="F41" s="89">
        <v>44755</v>
      </c>
      <c r="G41" s="90">
        <v>13636.4</v>
      </c>
      <c r="H41" s="90">
        <v>13909.6</v>
      </c>
      <c r="I41" s="90">
        <v>13773</v>
      </c>
      <c r="K41" s="89">
        <v>44755</v>
      </c>
      <c r="L41" s="90">
        <v>16179.6</v>
      </c>
      <c r="M41" s="90">
        <v>16512.099999999999</v>
      </c>
      <c r="N41" s="99">
        <v>16345.85</v>
      </c>
      <c r="P41" s="89">
        <v>44755</v>
      </c>
      <c r="Q41" s="127">
        <v>17977.2</v>
      </c>
    </row>
    <row r="42" spans="1:17" x14ac:dyDescent="0.25">
      <c r="A42" s="89">
        <v>44756</v>
      </c>
      <c r="B42" s="90">
        <v>13463.5</v>
      </c>
      <c r="C42" s="90">
        <v>13735.5</v>
      </c>
      <c r="D42" s="90">
        <v>13599.5</v>
      </c>
      <c r="E42" s="176"/>
      <c r="F42" s="89">
        <v>44756</v>
      </c>
      <c r="G42" s="90">
        <v>13506.8</v>
      </c>
      <c r="H42" s="90">
        <v>13773.8</v>
      </c>
      <c r="I42" s="90">
        <v>13640.3</v>
      </c>
      <c r="K42" s="89">
        <v>44756</v>
      </c>
      <c r="L42" s="90">
        <v>15967.7</v>
      </c>
      <c r="M42" s="90">
        <v>16291.7</v>
      </c>
      <c r="N42" s="99">
        <v>16129.7</v>
      </c>
      <c r="P42" s="89">
        <v>44756</v>
      </c>
      <c r="Q42" s="127">
        <v>17842.400000000001</v>
      </c>
    </row>
    <row r="43" spans="1:17" x14ac:dyDescent="0.25">
      <c r="A43" s="89">
        <v>44757</v>
      </c>
      <c r="B43" s="90">
        <v>13614.8</v>
      </c>
      <c r="C43" s="90">
        <v>13889.9</v>
      </c>
      <c r="D43" s="90">
        <v>13752.35</v>
      </c>
      <c r="E43" s="176"/>
      <c r="F43" s="89">
        <v>44757</v>
      </c>
      <c r="G43" s="90">
        <v>13661</v>
      </c>
      <c r="H43" s="90">
        <v>13933.4</v>
      </c>
      <c r="I43" s="90">
        <v>13797.2</v>
      </c>
      <c r="K43" s="89">
        <v>44757</v>
      </c>
      <c r="L43" s="90">
        <v>16119.9</v>
      </c>
      <c r="M43" s="90">
        <v>16449.8</v>
      </c>
      <c r="N43" s="99">
        <v>16284.85</v>
      </c>
      <c r="P43" s="89">
        <v>44757</v>
      </c>
      <c r="Q43" s="127">
        <v>17981.7</v>
      </c>
    </row>
    <row r="44" spans="1:17" x14ac:dyDescent="0.25">
      <c r="A44" s="89">
        <v>44760</v>
      </c>
      <c r="B44" s="90">
        <v>13601.9</v>
      </c>
      <c r="C44" s="90">
        <v>13876.7</v>
      </c>
      <c r="D44" s="90">
        <v>13739.3</v>
      </c>
      <c r="E44" s="176"/>
      <c r="F44" s="89">
        <v>44760</v>
      </c>
      <c r="G44" s="90">
        <v>13800.5</v>
      </c>
      <c r="H44" s="90">
        <v>14076.8</v>
      </c>
      <c r="I44" s="90">
        <v>13938.65</v>
      </c>
      <c r="K44" s="89">
        <v>44760</v>
      </c>
      <c r="L44" s="90">
        <v>16258.4</v>
      </c>
      <c r="M44" s="90">
        <v>16592.400000000001</v>
      </c>
      <c r="N44" s="99">
        <v>16425.400000000001</v>
      </c>
      <c r="P44" s="89">
        <v>44760</v>
      </c>
      <c r="Q44" s="127">
        <v>17988.099999999999</v>
      </c>
    </row>
    <row r="45" spans="1:17" x14ac:dyDescent="0.25">
      <c r="A45" s="89">
        <v>44761</v>
      </c>
      <c r="B45" s="90">
        <v>13662.6</v>
      </c>
      <c r="C45" s="90">
        <v>13938.6</v>
      </c>
      <c r="D45" s="90">
        <v>13800.6</v>
      </c>
      <c r="E45" s="176"/>
      <c r="F45" s="89">
        <v>44761</v>
      </c>
      <c r="G45" s="90">
        <v>13960.5</v>
      </c>
      <c r="H45" s="90">
        <v>14237.6</v>
      </c>
      <c r="I45" s="90">
        <v>14099.05</v>
      </c>
      <c r="K45" s="89">
        <v>44761</v>
      </c>
      <c r="L45" s="90">
        <v>16391</v>
      </c>
      <c r="M45" s="90">
        <v>16723.5</v>
      </c>
      <c r="N45" s="99">
        <v>16557.25</v>
      </c>
      <c r="P45" s="89">
        <v>44761</v>
      </c>
      <c r="Q45" s="127">
        <v>18151.5</v>
      </c>
    </row>
    <row r="46" spans="1:17" x14ac:dyDescent="0.25">
      <c r="A46" s="89">
        <v>44762</v>
      </c>
      <c r="B46" s="90">
        <v>13662.9</v>
      </c>
      <c r="C46" s="90">
        <v>13800.2</v>
      </c>
      <c r="D46" s="90">
        <v>13731.55</v>
      </c>
      <c r="E46" s="176"/>
      <c r="F46" s="89">
        <v>44762</v>
      </c>
      <c r="G46" s="90">
        <v>13972.9</v>
      </c>
      <c r="H46" s="90">
        <v>14110.8</v>
      </c>
      <c r="I46" s="90">
        <v>14041.85</v>
      </c>
      <c r="K46" s="89">
        <v>44762</v>
      </c>
      <c r="L46" s="90">
        <v>16381.8</v>
      </c>
      <c r="M46" s="90">
        <v>16552</v>
      </c>
      <c r="N46" s="99">
        <v>16466.900000000001</v>
      </c>
      <c r="P46" s="89">
        <v>44762</v>
      </c>
      <c r="Q46" s="127">
        <v>18127.5</v>
      </c>
    </row>
    <row r="47" spans="1:17" x14ac:dyDescent="0.25">
      <c r="A47" s="89">
        <v>44763</v>
      </c>
      <c r="B47" s="90">
        <v>13698.9</v>
      </c>
      <c r="C47" s="90">
        <v>13836.5</v>
      </c>
      <c r="D47" s="90">
        <v>13767.7</v>
      </c>
      <c r="E47" s="176"/>
      <c r="F47" s="89">
        <v>44763</v>
      </c>
      <c r="G47" s="90">
        <v>13969.2</v>
      </c>
      <c r="H47" s="90">
        <v>14107</v>
      </c>
      <c r="I47" s="90">
        <v>14038.1</v>
      </c>
      <c r="K47" s="89">
        <v>44763</v>
      </c>
      <c r="L47" s="90">
        <v>16355.1</v>
      </c>
      <c r="M47" s="90">
        <v>16524.900000000001</v>
      </c>
      <c r="N47" s="99">
        <v>16440</v>
      </c>
      <c r="P47" s="89">
        <v>44763</v>
      </c>
      <c r="Q47" s="127">
        <v>18124.900000000001</v>
      </c>
    </row>
    <row r="48" spans="1:17" x14ac:dyDescent="0.25">
      <c r="A48" s="89">
        <v>44764</v>
      </c>
      <c r="B48" s="90">
        <v>13606.3</v>
      </c>
      <c r="C48" s="90">
        <v>13881.1</v>
      </c>
      <c r="D48" s="90">
        <v>13743.7</v>
      </c>
      <c r="E48" s="176"/>
      <c r="F48" s="89">
        <v>44764</v>
      </c>
      <c r="G48" s="90">
        <v>13803</v>
      </c>
      <c r="H48" s="90">
        <v>14076.9</v>
      </c>
      <c r="I48" s="90">
        <v>13939.95</v>
      </c>
      <c r="K48" s="89">
        <v>44764</v>
      </c>
      <c r="L48" s="90">
        <v>16235</v>
      </c>
      <c r="M48" s="90">
        <v>16565.7</v>
      </c>
      <c r="N48" s="99">
        <v>16400.349999999999</v>
      </c>
      <c r="P48" s="89">
        <v>44764</v>
      </c>
      <c r="Q48" s="127">
        <v>18076.7</v>
      </c>
    </row>
    <row r="49" spans="1:17" x14ac:dyDescent="0.25">
      <c r="A49" s="89">
        <v>44767</v>
      </c>
      <c r="B49" s="90">
        <v>13748</v>
      </c>
      <c r="C49" s="90">
        <v>13886.1</v>
      </c>
      <c r="D49" s="90">
        <v>13817.05</v>
      </c>
      <c r="E49" s="176"/>
      <c r="F49" s="89">
        <v>44767</v>
      </c>
      <c r="G49" s="90">
        <v>14026.2</v>
      </c>
      <c r="H49" s="90">
        <v>14164.6</v>
      </c>
      <c r="I49" s="90">
        <v>14095.4</v>
      </c>
      <c r="K49" s="89">
        <v>44767</v>
      </c>
      <c r="L49" s="90">
        <v>16499</v>
      </c>
      <c r="M49" s="90">
        <v>16670.3</v>
      </c>
      <c r="N49" s="99">
        <v>16584.650000000001</v>
      </c>
      <c r="P49" s="89">
        <v>44767</v>
      </c>
      <c r="Q49" s="127">
        <v>18175.5</v>
      </c>
    </row>
    <row r="50" spans="1:17" x14ac:dyDescent="0.25">
      <c r="A50" s="89">
        <v>44768</v>
      </c>
      <c r="B50" s="90">
        <v>13758.6</v>
      </c>
      <c r="C50" s="90">
        <v>13896.8</v>
      </c>
      <c r="D50" s="90">
        <v>13827.7</v>
      </c>
      <c r="E50" s="176"/>
      <c r="F50" s="89">
        <v>44768</v>
      </c>
      <c r="G50" s="90">
        <v>14061</v>
      </c>
      <c r="H50" s="90">
        <v>14199.7</v>
      </c>
      <c r="I50" s="90">
        <v>14130.35</v>
      </c>
      <c r="K50" s="89">
        <v>44768</v>
      </c>
      <c r="L50" s="90">
        <v>16569.5</v>
      </c>
      <c r="M50" s="90">
        <v>16741.5</v>
      </c>
      <c r="N50" s="99">
        <v>16655.5</v>
      </c>
      <c r="P50" s="89">
        <v>44768</v>
      </c>
      <c r="Q50" s="127">
        <v>18249.599999999999</v>
      </c>
    </row>
    <row r="51" spans="1:17" x14ac:dyDescent="0.25">
      <c r="A51" s="89">
        <v>44769</v>
      </c>
      <c r="B51" s="90">
        <v>13825.3</v>
      </c>
      <c r="C51" s="90">
        <v>13964.3</v>
      </c>
      <c r="D51" s="90">
        <v>13894.8</v>
      </c>
      <c r="E51" s="176"/>
      <c r="F51" s="89">
        <v>44769</v>
      </c>
      <c r="G51" s="90">
        <v>14022.1</v>
      </c>
      <c r="H51" s="90">
        <v>14160.6</v>
      </c>
      <c r="I51" s="90">
        <v>14091.35</v>
      </c>
      <c r="K51" s="89">
        <v>44769</v>
      </c>
      <c r="L51" s="90">
        <v>16648.400000000001</v>
      </c>
      <c r="M51" s="90">
        <v>16821.400000000001</v>
      </c>
      <c r="N51" s="99">
        <v>16734.900000000001</v>
      </c>
      <c r="P51" s="89">
        <v>44769</v>
      </c>
      <c r="Q51" s="127">
        <v>18282.599999999999</v>
      </c>
    </row>
    <row r="52" spans="1:17" x14ac:dyDescent="0.25">
      <c r="A52" s="89">
        <v>44770</v>
      </c>
      <c r="B52" s="90">
        <v>13838.9</v>
      </c>
      <c r="C52" s="90">
        <v>13978</v>
      </c>
      <c r="D52" s="90">
        <v>13908.45</v>
      </c>
      <c r="E52" s="176"/>
      <c r="F52" s="89">
        <v>44770</v>
      </c>
      <c r="G52" s="90">
        <v>14106.8</v>
      </c>
      <c r="H52" s="90">
        <v>14246.1</v>
      </c>
      <c r="I52" s="90">
        <v>14176.45</v>
      </c>
      <c r="K52" s="89">
        <v>44770</v>
      </c>
      <c r="L52" s="90">
        <v>16832.3</v>
      </c>
      <c r="M52" s="90">
        <v>17007</v>
      </c>
      <c r="N52" s="99">
        <v>16919.650000000001</v>
      </c>
      <c r="P52" s="89">
        <v>44770</v>
      </c>
      <c r="Q52" s="127">
        <v>18315</v>
      </c>
    </row>
    <row r="53" spans="1:17" x14ac:dyDescent="0.25">
      <c r="A53" s="89">
        <v>44771</v>
      </c>
      <c r="B53" s="90">
        <v>13813.9</v>
      </c>
      <c r="C53" s="90">
        <v>13952.7</v>
      </c>
      <c r="D53" s="90">
        <v>13883.3</v>
      </c>
      <c r="E53" s="176"/>
      <c r="F53" s="89">
        <v>44771</v>
      </c>
      <c r="G53" s="90">
        <v>14134.6</v>
      </c>
      <c r="H53" s="90">
        <v>14270.6</v>
      </c>
      <c r="I53" s="90">
        <v>14202.6</v>
      </c>
      <c r="K53" s="89">
        <v>44771</v>
      </c>
      <c r="L53" s="90">
        <v>16864</v>
      </c>
      <c r="M53" s="90">
        <v>17034.900000000001</v>
      </c>
      <c r="N53" s="99">
        <v>16949.45</v>
      </c>
      <c r="P53" s="89">
        <v>44771</v>
      </c>
      <c r="Q53" s="127">
        <v>18284.3</v>
      </c>
    </row>
    <row r="54" spans="1:17" ht="15.75" x14ac:dyDescent="0.25">
      <c r="A54" s="94" t="s">
        <v>31</v>
      </c>
      <c r="B54" s="95">
        <f>AVERAGE(B34:B53)</f>
        <v>13617.284999999998</v>
      </c>
      <c r="C54" s="95">
        <f t="shared" ref="C54:D54" si="3">AVERAGE(C34:C53)</f>
        <v>13843.480000000001</v>
      </c>
      <c r="D54" s="95">
        <f t="shared" si="3"/>
        <v>13730.382500000002</v>
      </c>
      <c r="E54" s="176"/>
      <c r="F54" s="125" t="s">
        <v>58</v>
      </c>
      <c r="G54" s="95">
        <f>AVERAGE(G34:G53)</f>
        <v>13871.669999999998</v>
      </c>
      <c r="H54" s="95">
        <f t="shared" ref="H54:I54" si="4">AVERAGE(H34:H53)</f>
        <v>14099.289999999999</v>
      </c>
      <c r="I54" s="95">
        <f t="shared" si="4"/>
        <v>13985.48</v>
      </c>
      <c r="K54" s="88" t="s">
        <v>31</v>
      </c>
      <c r="L54" s="95">
        <f>AVERAGE(L34:L53)</f>
        <v>16323.725</v>
      </c>
      <c r="M54" s="95">
        <f t="shared" ref="M54:N54" si="5">AVERAGE(M34:M53)</f>
        <v>16599.530000000002</v>
      </c>
      <c r="N54" s="95">
        <f t="shared" si="5"/>
        <v>16461.627500000002</v>
      </c>
      <c r="P54" s="125" t="s">
        <v>58</v>
      </c>
      <c r="Q54" s="128">
        <f>AVERAGE(Q34:Q53)</f>
        <v>18092.324999999997</v>
      </c>
    </row>
    <row r="56" spans="1:17" x14ac:dyDescent="0.25">
      <c r="A56" s="45" t="s">
        <v>12</v>
      </c>
      <c r="K56" s="45" t="s">
        <v>12</v>
      </c>
    </row>
    <row r="57" spans="1:17" x14ac:dyDescent="0.25">
      <c r="A57" s="45" t="s">
        <v>13</v>
      </c>
      <c r="K57" s="45" t="s">
        <v>13</v>
      </c>
    </row>
    <row r="58" spans="1:17" x14ac:dyDescent="0.25">
      <c r="A58" s="45" t="s">
        <v>14</v>
      </c>
      <c r="K58" s="45" t="s">
        <v>14</v>
      </c>
    </row>
  </sheetData>
  <mergeCells count="27">
    <mergeCell ref="A1:D1"/>
    <mergeCell ref="F1:I1"/>
    <mergeCell ref="A2:A3"/>
    <mergeCell ref="B2:D2"/>
    <mergeCell ref="E2:E24"/>
    <mergeCell ref="F2:F3"/>
    <mergeCell ref="G2:I2"/>
    <mergeCell ref="K1:N1"/>
    <mergeCell ref="K2:K3"/>
    <mergeCell ref="L2:N2"/>
    <mergeCell ref="P1:R1"/>
    <mergeCell ref="P2:P3"/>
    <mergeCell ref="Q2:Q3"/>
    <mergeCell ref="R2:R24"/>
    <mergeCell ref="L32:N32"/>
    <mergeCell ref="P32:P33"/>
    <mergeCell ref="Q32:Q33"/>
    <mergeCell ref="A31:D31"/>
    <mergeCell ref="F31:I31"/>
    <mergeCell ref="K31:N31"/>
    <mergeCell ref="P31:R31"/>
    <mergeCell ref="A32:A33"/>
    <mergeCell ref="B32:D32"/>
    <mergeCell ref="E32:E54"/>
    <mergeCell ref="F32:F33"/>
    <mergeCell ref="G32:I32"/>
    <mergeCell ref="K32:K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tabSelected="1" workbookViewId="0">
      <selection activeCell="K61" sqref="K61"/>
    </sheetView>
  </sheetViews>
  <sheetFormatPr defaultRowHeight="15" x14ac:dyDescent="0.25"/>
  <cols>
    <col min="1" max="1" width="13" customWidth="1"/>
    <col min="2" max="2" width="11.5703125" customWidth="1"/>
    <col min="3" max="3" width="11.42578125" customWidth="1"/>
    <col min="4" max="4" width="12.42578125" customWidth="1"/>
    <col min="6" max="6" width="13.5703125" bestFit="1" customWidth="1"/>
    <col min="7" max="7" width="11.5703125" customWidth="1"/>
    <col min="8" max="8" width="11.42578125" customWidth="1"/>
    <col min="9" max="9" width="12.42578125" customWidth="1"/>
    <col min="11" max="11" width="16.28515625" bestFit="1" customWidth="1"/>
    <col min="12" max="12" width="13.28515625" customWidth="1"/>
    <col min="13" max="13" width="14.42578125" customWidth="1"/>
    <col min="14" max="14" width="14.85546875" customWidth="1"/>
    <col min="16" max="16" width="13.7109375" customWidth="1"/>
    <col min="17" max="17" width="9.5703125" customWidth="1"/>
    <col min="18" max="18" width="8.5703125" customWidth="1"/>
  </cols>
  <sheetData>
    <row r="1" spans="1:19" ht="18.75" customHeight="1" x14ac:dyDescent="0.25">
      <c r="A1" s="221" t="s">
        <v>62</v>
      </c>
      <c r="B1" s="212"/>
      <c r="C1" s="212"/>
      <c r="D1" s="212"/>
      <c r="F1" s="221" t="s">
        <v>63</v>
      </c>
      <c r="G1" s="212"/>
      <c r="H1" s="212"/>
      <c r="I1" s="212"/>
      <c r="K1" s="221" t="s">
        <v>64</v>
      </c>
      <c r="L1" s="212"/>
      <c r="M1" s="212"/>
      <c r="N1" s="212"/>
      <c r="P1" s="141" t="s">
        <v>66</v>
      </c>
      <c r="Q1" s="142"/>
      <c r="R1" s="143"/>
      <c r="S1" s="143"/>
    </row>
    <row r="2" spans="1:19" ht="17.25" customHeight="1" x14ac:dyDescent="0.25">
      <c r="A2" s="236" t="s">
        <v>1</v>
      </c>
      <c r="B2" s="173" t="s">
        <v>2</v>
      </c>
      <c r="C2" s="174"/>
      <c r="D2" s="175"/>
      <c r="F2" s="236" t="s">
        <v>61</v>
      </c>
      <c r="G2" s="173" t="s">
        <v>7</v>
      </c>
      <c r="H2" s="174"/>
      <c r="I2" s="175"/>
      <c r="K2" s="238" t="s">
        <v>24</v>
      </c>
      <c r="L2" s="177" t="s">
        <v>33</v>
      </c>
      <c r="M2" s="178"/>
      <c r="N2" s="179"/>
      <c r="P2" s="234" t="s">
        <v>34</v>
      </c>
      <c r="Q2" s="232" t="s">
        <v>65</v>
      </c>
    </row>
    <row r="3" spans="1:19" ht="18.75" customHeight="1" x14ac:dyDescent="0.25">
      <c r="A3" s="237"/>
      <c r="B3" s="88" t="s">
        <v>22</v>
      </c>
      <c r="C3" s="88" t="s">
        <v>4</v>
      </c>
      <c r="D3" s="88" t="s">
        <v>5</v>
      </c>
      <c r="F3" s="237"/>
      <c r="G3" s="88" t="s">
        <v>22</v>
      </c>
      <c r="H3" s="88" t="s">
        <v>4</v>
      </c>
      <c r="I3" s="88" t="s">
        <v>5</v>
      </c>
      <c r="K3" s="239"/>
      <c r="L3" s="88" t="s">
        <v>27</v>
      </c>
      <c r="M3" s="88" t="s">
        <v>28</v>
      </c>
      <c r="N3" s="88" t="s">
        <v>29</v>
      </c>
      <c r="P3" s="235"/>
      <c r="Q3" s="233"/>
    </row>
    <row r="4" spans="1:19" x14ac:dyDescent="0.25">
      <c r="A4" s="89">
        <v>44774</v>
      </c>
      <c r="B4" s="121">
        <v>13.81</v>
      </c>
      <c r="C4" s="121">
        <v>13.95</v>
      </c>
      <c r="D4" s="121">
        <v>13.88</v>
      </c>
      <c r="F4" s="89">
        <v>44774</v>
      </c>
      <c r="G4" s="121">
        <v>14.13</v>
      </c>
      <c r="H4" s="121">
        <v>14.26</v>
      </c>
      <c r="I4" s="121">
        <v>14.2</v>
      </c>
      <c r="K4" s="133">
        <v>44774</v>
      </c>
      <c r="L4" s="121">
        <v>16.84</v>
      </c>
      <c r="M4" s="121">
        <v>17.010000000000002</v>
      </c>
      <c r="N4" s="121">
        <v>16.920000000000002</v>
      </c>
      <c r="P4" s="136">
        <v>44774</v>
      </c>
      <c r="Q4" s="137">
        <v>18.37</v>
      </c>
    </row>
    <row r="5" spans="1:19" x14ac:dyDescent="0.25">
      <c r="A5" s="89">
        <v>44775</v>
      </c>
      <c r="B5" s="121">
        <v>13.78</v>
      </c>
      <c r="C5" s="121">
        <v>13.91</v>
      </c>
      <c r="D5" s="121">
        <v>13.85</v>
      </c>
      <c r="F5" s="89">
        <v>44775</v>
      </c>
      <c r="G5" s="121">
        <v>14.09</v>
      </c>
      <c r="H5" s="121">
        <v>14.23</v>
      </c>
      <c r="I5" s="121">
        <v>14.16</v>
      </c>
      <c r="K5" s="133">
        <v>44775</v>
      </c>
      <c r="L5" s="121">
        <v>16.8</v>
      </c>
      <c r="M5" s="121">
        <v>16.97</v>
      </c>
      <c r="N5" s="121">
        <v>16.89</v>
      </c>
      <c r="P5" s="136">
        <v>44775</v>
      </c>
      <c r="Q5" s="137">
        <v>18.34</v>
      </c>
    </row>
    <row r="6" spans="1:19" x14ac:dyDescent="0.25">
      <c r="A6" s="89">
        <v>44776</v>
      </c>
      <c r="B6" s="121">
        <v>13.76</v>
      </c>
      <c r="C6" s="121">
        <v>13.89</v>
      </c>
      <c r="D6" s="121">
        <v>13.83</v>
      </c>
      <c r="F6" s="89">
        <v>44776</v>
      </c>
      <c r="G6" s="121">
        <v>14.01</v>
      </c>
      <c r="H6" s="121">
        <v>14.15</v>
      </c>
      <c r="I6" s="121">
        <v>14.08</v>
      </c>
      <c r="K6" s="133">
        <v>44776</v>
      </c>
      <c r="L6" s="121">
        <v>16.78</v>
      </c>
      <c r="M6" s="121">
        <v>16.95</v>
      </c>
      <c r="N6" s="121">
        <v>16.86</v>
      </c>
      <c r="P6" s="136">
        <v>44776</v>
      </c>
      <c r="Q6" s="137">
        <v>18.309999999999999</v>
      </c>
    </row>
    <row r="7" spans="1:19" x14ac:dyDescent="0.25">
      <c r="A7" s="89">
        <v>44777</v>
      </c>
      <c r="B7" s="121">
        <v>13.77</v>
      </c>
      <c r="C7" s="121">
        <v>13.91</v>
      </c>
      <c r="D7" s="121">
        <v>13.84</v>
      </c>
      <c r="F7" s="89">
        <v>44777</v>
      </c>
      <c r="G7" s="121">
        <v>14.01</v>
      </c>
      <c r="H7" s="121">
        <v>14.15</v>
      </c>
      <c r="I7" s="121">
        <v>14.08</v>
      </c>
      <c r="K7" s="133">
        <v>44777</v>
      </c>
      <c r="L7" s="121">
        <v>16.75</v>
      </c>
      <c r="M7" s="121">
        <v>16.920000000000002</v>
      </c>
      <c r="N7" s="121">
        <v>16.829999999999998</v>
      </c>
      <c r="P7" s="136">
        <v>44777</v>
      </c>
      <c r="Q7" s="137">
        <v>18.28</v>
      </c>
    </row>
    <row r="8" spans="1:19" x14ac:dyDescent="0.25">
      <c r="A8" s="89">
        <v>44778</v>
      </c>
      <c r="B8" s="121">
        <v>13.83</v>
      </c>
      <c r="C8" s="121">
        <v>13.96</v>
      </c>
      <c r="D8" s="121">
        <v>13.9</v>
      </c>
      <c r="F8" s="89">
        <v>44778</v>
      </c>
      <c r="G8" s="121">
        <v>14.14</v>
      </c>
      <c r="H8" s="121">
        <v>14.28</v>
      </c>
      <c r="I8" s="121">
        <v>14.21</v>
      </c>
      <c r="K8" s="133">
        <v>44778</v>
      </c>
      <c r="L8" s="121">
        <v>16.79</v>
      </c>
      <c r="M8" s="121">
        <v>16.96</v>
      </c>
      <c r="N8" s="121">
        <v>16.88</v>
      </c>
      <c r="P8" s="136">
        <v>44778</v>
      </c>
      <c r="Q8" s="137">
        <v>18.350000000000001</v>
      </c>
    </row>
    <row r="9" spans="1:19" x14ac:dyDescent="0.25">
      <c r="A9" s="89">
        <v>44781</v>
      </c>
      <c r="B9" s="121">
        <v>13.89</v>
      </c>
      <c r="C9" s="121">
        <v>14.03</v>
      </c>
      <c r="D9" s="121">
        <v>13.96</v>
      </c>
      <c r="F9" s="89">
        <v>44781</v>
      </c>
      <c r="G9" s="121">
        <v>14.16</v>
      </c>
      <c r="H9" s="121">
        <v>14.3</v>
      </c>
      <c r="I9" s="121">
        <v>14.23</v>
      </c>
      <c r="K9" s="133">
        <v>44781</v>
      </c>
      <c r="L9" s="121">
        <v>16.8</v>
      </c>
      <c r="M9" s="121">
        <v>16.97</v>
      </c>
      <c r="N9" s="121">
        <v>16.88</v>
      </c>
      <c r="P9" s="136">
        <v>44781</v>
      </c>
      <c r="Q9" s="137">
        <v>18.46</v>
      </c>
    </row>
    <row r="10" spans="1:19" x14ac:dyDescent="0.25">
      <c r="A10" s="89">
        <v>44782</v>
      </c>
      <c r="B10" s="121">
        <v>13.86</v>
      </c>
      <c r="C10" s="121">
        <v>14</v>
      </c>
      <c r="D10" s="121">
        <v>13.93</v>
      </c>
      <c r="F10" s="89">
        <v>44782</v>
      </c>
      <c r="G10" s="121">
        <v>14.18</v>
      </c>
      <c r="H10" s="121">
        <v>14.31</v>
      </c>
      <c r="I10" s="121">
        <v>14.25</v>
      </c>
      <c r="K10" s="133">
        <v>44782</v>
      </c>
      <c r="L10" s="121">
        <v>16.77</v>
      </c>
      <c r="M10" s="121">
        <v>16.940000000000001</v>
      </c>
      <c r="N10" s="121">
        <v>16.86</v>
      </c>
      <c r="P10" s="136">
        <v>44782</v>
      </c>
      <c r="Q10" s="137">
        <v>18.38</v>
      </c>
    </row>
    <row r="11" spans="1:19" x14ac:dyDescent="0.25">
      <c r="A11" s="89">
        <v>44783</v>
      </c>
      <c r="B11" s="121">
        <v>13.87</v>
      </c>
      <c r="C11" s="121">
        <v>14</v>
      </c>
      <c r="D11" s="121">
        <v>13.94</v>
      </c>
      <c r="F11" s="89">
        <v>44783</v>
      </c>
      <c r="G11" s="121">
        <v>14.16</v>
      </c>
      <c r="H11" s="121">
        <v>14.3</v>
      </c>
      <c r="I11" s="121">
        <v>14.23</v>
      </c>
      <c r="K11" s="133">
        <v>44783</v>
      </c>
      <c r="L11" s="121">
        <v>16.760000000000002</v>
      </c>
      <c r="M11" s="121">
        <v>16.93</v>
      </c>
      <c r="N11" s="121">
        <v>16.850000000000001</v>
      </c>
      <c r="P11" s="136">
        <v>44783</v>
      </c>
      <c r="Q11" s="137">
        <v>18.41</v>
      </c>
    </row>
    <row r="12" spans="1:19" x14ac:dyDescent="0.25">
      <c r="A12" s="89">
        <v>44784</v>
      </c>
      <c r="B12" s="121">
        <v>13.87</v>
      </c>
      <c r="C12" s="121">
        <v>14</v>
      </c>
      <c r="D12" s="121">
        <v>13.94</v>
      </c>
      <c r="F12" s="89">
        <v>44784</v>
      </c>
      <c r="G12" s="121">
        <v>14.34</v>
      </c>
      <c r="H12" s="121">
        <v>14.48</v>
      </c>
      <c r="I12" s="121">
        <v>14.41</v>
      </c>
      <c r="K12" s="133">
        <v>44784</v>
      </c>
      <c r="L12" s="121">
        <v>16.93</v>
      </c>
      <c r="M12" s="121">
        <v>17.100000000000001</v>
      </c>
      <c r="N12" s="121">
        <v>17.02</v>
      </c>
      <c r="P12" s="136">
        <v>44784</v>
      </c>
      <c r="Q12" s="137">
        <v>18.420000000000002</v>
      </c>
    </row>
    <row r="13" spans="1:19" x14ac:dyDescent="0.25">
      <c r="A13" s="89">
        <v>44785</v>
      </c>
      <c r="B13" s="121">
        <v>13.87</v>
      </c>
      <c r="C13" s="121">
        <v>14.01</v>
      </c>
      <c r="D13" s="121">
        <v>13.94</v>
      </c>
      <c r="F13" s="89">
        <v>44785</v>
      </c>
      <c r="G13" s="121">
        <v>14.28</v>
      </c>
      <c r="H13" s="121">
        <v>14.42</v>
      </c>
      <c r="I13" s="121">
        <v>14.35</v>
      </c>
      <c r="K13" s="133">
        <v>44785</v>
      </c>
      <c r="L13" s="121">
        <v>16.850000000000001</v>
      </c>
      <c r="M13" s="121">
        <v>17.02</v>
      </c>
      <c r="N13" s="121">
        <v>16.93</v>
      </c>
      <c r="P13" s="136">
        <v>44785</v>
      </c>
      <c r="Q13" s="137">
        <v>18.5</v>
      </c>
    </row>
    <row r="14" spans="1:19" x14ac:dyDescent="0.25">
      <c r="A14" s="89">
        <v>44788</v>
      </c>
      <c r="B14" s="121">
        <v>13.92</v>
      </c>
      <c r="C14" s="121">
        <v>14.06</v>
      </c>
      <c r="D14" s="121">
        <v>13.99</v>
      </c>
      <c r="F14" s="89">
        <v>44788</v>
      </c>
      <c r="G14" s="121">
        <v>14.2</v>
      </c>
      <c r="H14" s="121">
        <v>14.34</v>
      </c>
      <c r="I14" s="121">
        <v>14.27</v>
      </c>
      <c r="K14" s="133">
        <v>44788</v>
      </c>
      <c r="L14" s="121">
        <v>16.79</v>
      </c>
      <c r="M14" s="121">
        <v>16.97</v>
      </c>
      <c r="N14" s="121">
        <v>16.88</v>
      </c>
      <c r="P14" s="136">
        <v>44788</v>
      </c>
      <c r="Q14" s="137">
        <v>18.53</v>
      </c>
    </row>
    <row r="15" spans="1:19" x14ac:dyDescent="0.25">
      <c r="A15" s="89">
        <v>44789</v>
      </c>
      <c r="B15" s="121">
        <v>13.86</v>
      </c>
      <c r="C15" s="121">
        <v>14</v>
      </c>
      <c r="D15" s="121">
        <v>13.93</v>
      </c>
      <c r="F15" s="89">
        <v>44789</v>
      </c>
      <c r="G15" s="121">
        <v>14.08</v>
      </c>
      <c r="H15" s="121">
        <v>14.79</v>
      </c>
      <c r="I15" s="121">
        <v>14.71</v>
      </c>
      <c r="K15" s="133">
        <v>44789</v>
      </c>
      <c r="L15" s="121">
        <v>16.7</v>
      </c>
      <c r="M15" s="121">
        <v>16.87</v>
      </c>
      <c r="N15" s="121">
        <v>16.78</v>
      </c>
      <c r="P15" s="136">
        <v>44789</v>
      </c>
      <c r="Q15" s="137">
        <v>18.399999999999999</v>
      </c>
    </row>
    <row r="16" spans="1:19" x14ac:dyDescent="0.25">
      <c r="A16" s="89">
        <v>44790</v>
      </c>
      <c r="B16" s="121">
        <v>13.88</v>
      </c>
      <c r="C16" s="121">
        <v>14.02</v>
      </c>
      <c r="D16" s="121">
        <v>13.95</v>
      </c>
      <c r="F16" s="89">
        <v>44790</v>
      </c>
      <c r="G16" s="121">
        <v>14.11</v>
      </c>
      <c r="H16" s="121">
        <v>14.25</v>
      </c>
      <c r="I16" s="121">
        <v>14.18</v>
      </c>
      <c r="K16" s="133">
        <v>44790</v>
      </c>
      <c r="L16" s="121">
        <v>16.78</v>
      </c>
      <c r="M16" s="121">
        <v>16.95</v>
      </c>
      <c r="N16" s="121">
        <v>16.86</v>
      </c>
      <c r="P16" s="136">
        <v>44790</v>
      </c>
      <c r="Q16" s="137">
        <v>18.36</v>
      </c>
    </row>
    <row r="17" spans="1:17" x14ac:dyDescent="0.25">
      <c r="A17" s="89">
        <v>44791</v>
      </c>
      <c r="B17" s="121">
        <v>13.91</v>
      </c>
      <c r="C17" s="121">
        <v>14.05</v>
      </c>
      <c r="D17" s="121">
        <v>13.98</v>
      </c>
      <c r="F17" s="89">
        <v>44791</v>
      </c>
      <c r="G17" s="121">
        <v>14.15</v>
      </c>
      <c r="H17" s="121">
        <v>14.29</v>
      </c>
      <c r="I17" s="121">
        <v>14.22</v>
      </c>
      <c r="K17" s="133">
        <v>44791</v>
      </c>
      <c r="L17" s="121">
        <v>16.739999999999998</v>
      </c>
      <c r="M17" s="121">
        <v>16.920000000000002</v>
      </c>
      <c r="N17" s="121">
        <v>16.829999999999998</v>
      </c>
      <c r="P17" s="136">
        <v>44791</v>
      </c>
      <c r="Q17" s="137">
        <v>18.420000000000002</v>
      </c>
    </row>
    <row r="18" spans="1:17" x14ac:dyDescent="0.25">
      <c r="A18" s="89">
        <v>44792</v>
      </c>
      <c r="B18" s="121">
        <v>13.93</v>
      </c>
      <c r="C18" s="121">
        <v>14.07</v>
      </c>
      <c r="D18" s="121">
        <v>14</v>
      </c>
      <c r="F18" s="89">
        <v>44792</v>
      </c>
      <c r="G18" s="121">
        <v>14.04</v>
      </c>
      <c r="H18" s="121">
        <v>14.18</v>
      </c>
      <c r="I18" s="121">
        <v>14.11</v>
      </c>
      <c r="K18" s="133">
        <v>44792</v>
      </c>
      <c r="L18" s="121">
        <v>16.55</v>
      </c>
      <c r="M18" s="121">
        <v>16.72</v>
      </c>
      <c r="N18" s="121">
        <v>16.64</v>
      </c>
      <c r="P18" s="136">
        <v>44792</v>
      </c>
      <c r="Q18" s="137">
        <v>18.43</v>
      </c>
    </row>
    <row r="19" spans="1:17" x14ac:dyDescent="0.25">
      <c r="A19" s="89">
        <v>44795</v>
      </c>
      <c r="B19" s="121">
        <v>13.98</v>
      </c>
      <c r="C19" s="121">
        <v>14.12</v>
      </c>
      <c r="D19" s="121">
        <v>14.05</v>
      </c>
      <c r="F19" s="89">
        <v>44795</v>
      </c>
      <c r="G19" s="121">
        <v>13.99</v>
      </c>
      <c r="H19" s="121">
        <v>14.13</v>
      </c>
      <c r="I19" s="121">
        <v>14.06</v>
      </c>
      <c r="K19" s="133">
        <v>44795</v>
      </c>
      <c r="L19" s="121">
        <v>16.489999999999998</v>
      </c>
      <c r="M19" s="121">
        <v>16.66</v>
      </c>
      <c r="N19" s="121">
        <v>16.579999999999998</v>
      </c>
      <c r="P19" s="136">
        <v>44795</v>
      </c>
      <c r="Q19" s="137">
        <v>18.39</v>
      </c>
    </row>
    <row r="20" spans="1:17" x14ac:dyDescent="0.25">
      <c r="A20" s="89">
        <v>44796</v>
      </c>
      <c r="B20" s="121">
        <v>13.93</v>
      </c>
      <c r="C20" s="121">
        <v>14.07</v>
      </c>
      <c r="D20" s="121">
        <v>14</v>
      </c>
      <c r="F20" s="89">
        <v>44796</v>
      </c>
      <c r="G20" s="121">
        <v>13.84</v>
      </c>
      <c r="H20" s="121">
        <v>13.97</v>
      </c>
      <c r="I20" s="121">
        <v>13.9</v>
      </c>
      <c r="K20" s="133">
        <v>44796</v>
      </c>
      <c r="L20" s="121">
        <v>16.38</v>
      </c>
      <c r="M20" s="121">
        <v>16.55</v>
      </c>
      <c r="N20" s="121">
        <v>16.47</v>
      </c>
      <c r="P20" s="136">
        <v>44796</v>
      </c>
      <c r="Q20" s="137">
        <v>18.28</v>
      </c>
    </row>
    <row r="21" spans="1:17" x14ac:dyDescent="0.25">
      <c r="A21" s="89">
        <v>44797</v>
      </c>
      <c r="B21" s="121">
        <v>13.96</v>
      </c>
      <c r="C21" s="121">
        <v>14.1</v>
      </c>
      <c r="D21" s="121">
        <v>14.03</v>
      </c>
      <c r="F21" s="89">
        <v>44797</v>
      </c>
      <c r="G21" s="121">
        <v>13.89</v>
      </c>
      <c r="H21" s="121">
        <v>14.03</v>
      </c>
      <c r="I21" s="121">
        <v>13.96</v>
      </c>
      <c r="K21" s="133">
        <v>44797</v>
      </c>
      <c r="L21" s="121">
        <v>16.5</v>
      </c>
      <c r="M21" s="121">
        <v>16.670000000000002</v>
      </c>
      <c r="N21" s="121">
        <v>16.59</v>
      </c>
      <c r="P21" s="136">
        <v>44797</v>
      </c>
      <c r="Q21" s="137">
        <v>18.27</v>
      </c>
    </row>
    <row r="22" spans="1:17" x14ac:dyDescent="0.25">
      <c r="A22" s="89">
        <v>44798</v>
      </c>
      <c r="B22" s="121">
        <v>14</v>
      </c>
      <c r="C22" s="121">
        <v>14.14</v>
      </c>
      <c r="D22" s="121">
        <v>14.07</v>
      </c>
      <c r="F22" s="89">
        <v>44798</v>
      </c>
      <c r="G22" s="121">
        <v>13.99</v>
      </c>
      <c r="H22" s="121">
        <v>14.14</v>
      </c>
      <c r="I22" s="121">
        <v>14.07</v>
      </c>
      <c r="K22" s="133">
        <v>44798</v>
      </c>
      <c r="L22" s="121">
        <v>16.559999999999999</v>
      </c>
      <c r="M22" s="121">
        <v>16.739999999999998</v>
      </c>
      <c r="N22" s="121">
        <v>16.649999999999999</v>
      </c>
      <c r="P22" s="136">
        <v>44798</v>
      </c>
      <c r="Q22" s="137">
        <v>18.32</v>
      </c>
    </row>
    <row r="23" spans="1:17" x14ac:dyDescent="0.25">
      <c r="A23" s="89">
        <v>44799</v>
      </c>
      <c r="B23" s="121">
        <v>13.98</v>
      </c>
      <c r="C23" s="121">
        <v>14.12</v>
      </c>
      <c r="D23" s="121">
        <v>14.05</v>
      </c>
      <c r="F23" s="89">
        <v>44799</v>
      </c>
      <c r="G23" s="121">
        <v>13.95</v>
      </c>
      <c r="H23" s="121">
        <v>14.09</v>
      </c>
      <c r="I23" s="121">
        <v>14.02</v>
      </c>
      <c r="K23" s="133">
        <v>44799</v>
      </c>
      <c r="L23" s="121">
        <v>16.47</v>
      </c>
      <c r="M23" s="121">
        <v>16.64</v>
      </c>
      <c r="N23" s="121">
        <v>16.559999999999999</v>
      </c>
      <c r="P23" s="136">
        <v>44799</v>
      </c>
      <c r="Q23" s="137">
        <v>18.350000000000001</v>
      </c>
    </row>
    <row r="24" spans="1:17" x14ac:dyDescent="0.25">
      <c r="A24" s="89">
        <v>44802</v>
      </c>
      <c r="B24" s="121">
        <v>14.06</v>
      </c>
      <c r="C24" s="121">
        <v>14.2</v>
      </c>
      <c r="D24" s="121">
        <v>14.13</v>
      </c>
      <c r="F24" s="89">
        <v>44802</v>
      </c>
      <c r="G24" s="121">
        <v>13.96</v>
      </c>
      <c r="H24" s="121">
        <v>14.1</v>
      </c>
      <c r="I24" s="121">
        <v>14.03</v>
      </c>
      <c r="K24" s="133">
        <v>44802</v>
      </c>
      <c r="L24" s="121">
        <v>16.399999999999999</v>
      </c>
      <c r="M24" s="121">
        <v>16.57</v>
      </c>
      <c r="N24" s="121">
        <v>16.48</v>
      </c>
      <c r="P24" s="136">
        <v>44802</v>
      </c>
      <c r="Q24" s="137">
        <v>18.46</v>
      </c>
    </row>
    <row r="25" spans="1:17" x14ac:dyDescent="0.25">
      <c r="A25" s="89">
        <v>44803</v>
      </c>
      <c r="B25" s="121">
        <v>14.06</v>
      </c>
      <c r="C25" s="121">
        <v>14.2</v>
      </c>
      <c r="D25" s="121">
        <v>14.13</v>
      </c>
      <c r="F25" s="89">
        <v>44803</v>
      </c>
      <c r="G25" s="121">
        <v>14.1</v>
      </c>
      <c r="H25" s="121">
        <v>14.24</v>
      </c>
      <c r="I25" s="121">
        <v>14.17</v>
      </c>
      <c r="K25" s="133">
        <v>44803</v>
      </c>
      <c r="L25" s="121">
        <v>16.510000000000002</v>
      </c>
      <c r="M25" s="121">
        <v>16.68</v>
      </c>
      <c r="N25" s="121">
        <v>16.600000000000001</v>
      </c>
      <c r="P25" s="136">
        <v>44803</v>
      </c>
      <c r="Q25" s="137">
        <v>18.399999999999999</v>
      </c>
    </row>
    <row r="26" spans="1:17" x14ac:dyDescent="0.25">
      <c r="A26" s="89">
        <v>44804</v>
      </c>
      <c r="B26" s="121">
        <v>14.08</v>
      </c>
      <c r="C26" s="121">
        <v>14.22</v>
      </c>
      <c r="D26" s="121">
        <v>14.15</v>
      </c>
      <c r="F26" s="144">
        <v>44804</v>
      </c>
      <c r="G26" s="121">
        <v>14.12</v>
      </c>
      <c r="H26" s="121">
        <v>14.24</v>
      </c>
      <c r="I26" s="121">
        <v>14.18</v>
      </c>
      <c r="K26" s="133">
        <v>44804</v>
      </c>
      <c r="L26" s="121">
        <v>16.399999999999999</v>
      </c>
      <c r="M26" s="121">
        <v>16.57</v>
      </c>
      <c r="N26" s="121">
        <v>16.48</v>
      </c>
      <c r="P26" s="136">
        <v>44804</v>
      </c>
      <c r="Q26" s="137">
        <v>18.46</v>
      </c>
    </row>
    <row r="27" spans="1:17" ht="15.75" x14ac:dyDescent="0.25">
      <c r="A27" s="94" t="s">
        <v>6</v>
      </c>
      <c r="B27" s="124">
        <f>AVERAGE(B4:B26)</f>
        <v>13.906956521739129</v>
      </c>
      <c r="C27" s="124">
        <f>AVERAGE(C4:C26)</f>
        <v>14.044782608695654</v>
      </c>
      <c r="D27" s="124">
        <f>AVERAGE(D4:D26)</f>
        <v>13.976956521739131</v>
      </c>
      <c r="F27" s="140" t="s">
        <v>6</v>
      </c>
      <c r="G27" s="135">
        <f>AVERAGE(G4:G26)</f>
        <v>14.083478260869565</v>
      </c>
      <c r="H27" s="124">
        <f>AVERAGE(H4:H26)</f>
        <v>14.246521739130433</v>
      </c>
      <c r="I27" s="124">
        <f>AVERAGE(I4:I26)</f>
        <v>14.177391304347825</v>
      </c>
      <c r="K27" s="134" t="s">
        <v>31</v>
      </c>
      <c r="L27" s="124">
        <f>AVERAGE(L4:L26)</f>
        <v>16.666956521739127</v>
      </c>
      <c r="M27" s="124">
        <f>AVERAGE(M4:M26)</f>
        <v>16.838260869565218</v>
      </c>
      <c r="N27" s="124">
        <f>AVERAGE(N4:N26)</f>
        <v>16.753043478260867</v>
      </c>
      <c r="P27" s="138" t="s">
        <v>58</v>
      </c>
      <c r="Q27" s="139">
        <f>AVERAGE(Q4:Q26)</f>
        <v>18.386521739130433</v>
      </c>
    </row>
    <row r="29" spans="1:17" x14ac:dyDescent="0.25">
      <c r="A29" s="45" t="s">
        <v>12</v>
      </c>
      <c r="K29" s="45" t="s">
        <v>12</v>
      </c>
    </row>
    <row r="30" spans="1:17" x14ac:dyDescent="0.25">
      <c r="A30" s="45" t="s">
        <v>13</v>
      </c>
      <c r="K30" s="45" t="s">
        <v>13</v>
      </c>
    </row>
    <row r="31" spans="1:17" x14ac:dyDescent="0.25">
      <c r="A31" s="45" t="s">
        <v>14</v>
      </c>
      <c r="K31" s="45" t="s">
        <v>14</v>
      </c>
    </row>
    <row r="34" spans="1:19" x14ac:dyDescent="0.25"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9" s="51" customFormat="1" ht="18.75" customHeight="1" x14ac:dyDescent="0.25">
      <c r="A35" s="221" t="s">
        <v>62</v>
      </c>
      <c r="B35" s="212"/>
      <c r="C35" s="212"/>
      <c r="D35" s="212"/>
      <c r="F35" s="221" t="s">
        <v>63</v>
      </c>
      <c r="G35" s="212"/>
      <c r="H35" s="212"/>
      <c r="I35" s="212"/>
      <c r="K35" s="221" t="s">
        <v>64</v>
      </c>
      <c r="L35" s="212"/>
      <c r="M35" s="212"/>
      <c r="N35" s="212"/>
      <c r="P35" s="141" t="s">
        <v>66</v>
      </c>
      <c r="Q35" s="142"/>
      <c r="R35" s="143"/>
      <c r="S35" s="143"/>
    </row>
    <row r="36" spans="1:19" ht="21" customHeight="1" x14ac:dyDescent="0.25">
      <c r="A36" s="222" t="s">
        <v>1</v>
      </c>
      <c r="B36" s="173" t="s">
        <v>2</v>
      </c>
      <c r="C36" s="174"/>
      <c r="D36" s="175"/>
      <c r="E36" s="51"/>
      <c r="F36" s="222" t="s">
        <v>1</v>
      </c>
      <c r="G36" s="173" t="s">
        <v>7</v>
      </c>
      <c r="H36" s="174"/>
      <c r="I36" s="175"/>
      <c r="J36" s="51"/>
      <c r="K36" s="222" t="s">
        <v>1</v>
      </c>
      <c r="L36" s="173" t="s">
        <v>8</v>
      </c>
      <c r="M36" s="174"/>
      <c r="N36" s="175"/>
      <c r="P36" s="222" t="s">
        <v>34</v>
      </c>
      <c r="Q36" s="228" t="s">
        <v>68</v>
      </c>
      <c r="R36" s="229"/>
    </row>
    <row r="37" spans="1:19" x14ac:dyDescent="0.25">
      <c r="A37" s="223"/>
      <c r="B37" s="88" t="s">
        <v>22</v>
      </c>
      <c r="C37" s="88" t="s">
        <v>4</v>
      </c>
      <c r="D37" s="88" t="s">
        <v>5</v>
      </c>
      <c r="E37" s="51"/>
      <c r="F37" s="223"/>
      <c r="G37" s="88" t="s">
        <v>22</v>
      </c>
      <c r="H37" s="88" t="s">
        <v>4</v>
      </c>
      <c r="I37" s="88" t="s">
        <v>5</v>
      </c>
      <c r="J37" s="51"/>
      <c r="K37" s="223"/>
      <c r="L37" s="88" t="s">
        <v>22</v>
      </c>
      <c r="M37" s="88" t="s">
        <v>4</v>
      </c>
      <c r="N37" s="88" t="s">
        <v>5</v>
      </c>
      <c r="P37" s="223"/>
      <c r="Q37" s="230"/>
      <c r="R37" s="231"/>
    </row>
    <row r="38" spans="1:19" x14ac:dyDescent="0.25">
      <c r="A38" s="103">
        <v>44774</v>
      </c>
      <c r="B38" s="90">
        <v>13806.7</v>
      </c>
      <c r="C38" s="90">
        <v>13945.5</v>
      </c>
      <c r="D38" s="90">
        <v>13876.1</v>
      </c>
      <c r="E38" s="51"/>
      <c r="F38" s="103">
        <v>44774</v>
      </c>
      <c r="G38" s="90">
        <v>14127.6</v>
      </c>
      <c r="H38" s="90">
        <v>14263.6</v>
      </c>
      <c r="I38" s="90">
        <v>14195.6</v>
      </c>
      <c r="J38" s="51"/>
      <c r="K38" s="103">
        <v>44774</v>
      </c>
      <c r="L38" s="90">
        <v>16838.7</v>
      </c>
      <c r="M38" s="90">
        <v>17009.3</v>
      </c>
      <c r="N38" s="90">
        <v>16924</v>
      </c>
      <c r="P38" s="89">
        <v>44774</v>
      </c>
      <c r="Q38" s="224">
        <v>18366.8</v>
      </c>
      <c r="R38" s="225"/>
    </row>
    <row r="39" spans="1:19" x14ac:dyDescent="0.25">
      <c r="A39" s="103">
        <v>44775</v>
      </c>
      <c r="B39" s="90">
        <v>13776.9</v>
      </c>
      <c r="C39" s="90">
        <v>13915.3</v>
      </c>
      <c r="D39" s="90">
        <v>13846.1</v>
      </c>
      <c r="E39" s="51"/>
      <c r="F39" s="103">
        <v>44775</v>
      </c>
      <c r="G39" s="90">
        <v>14093.5</v>
      </c>
      <c r="H39" s="90">
        <v>14233.8</v>
      </c>
      <c r="I39" s="90">
        <v>14163.65</v>
      </c>
      <c r="J39" s="51"/>
      <c r="K39" s="103">
        <v>44775</v>
      </c>
      <c r="L39" s="90">
        <v>16803.7</v>
      </c>
      <c r="M39" s="90">
        <v>16978.099999999999</v>
      </c>
      <c r="N39" s="90">
        <v>16890.900000000001</v>
      </c>
      <c r="P39" s="89">
        <v>44775</v>
      </c>
      <c r="Q39" s="224">
        <v>18341.599999999999</v>
      </c>
      <c r="R39" s="225"/>
    </row>
    <row r="40" spans="1:19" x14ac:dyDescent="0.25">
      <c r="A40" s="103">
        <v>44776</v>
      </c>
      <c r="B40" s="90">
        <v>13756</v>
      </c>
      <c r="C40" s="90">
        <v>13894.3</v>
      </c>
      <c r="D40" s="90">
        <v>13825.15</v>
      </c>
      <c r="E40" s="51"/>
      <c r="F40" s="103">
        <v>44776</v>
      </c>
      <c r="G40" s="90">
        <v>14009.9</v>
      </c>
      <c r="H40" s="90">
        <v>14148.3</v>
      </c>
      <c r="I40" s="90">
        <v>14079.1</v>
      </c>
      <c r="J40" s="51"/>
      <c r="K40" s="103">
        <v>44776</v>
      </c>
      <c r="L40" s="90">
        <v>16776.8</v>
      </c>
      <c r="M40" s="90">
        <v>16951</v>
      </c>
      <c r="N40" s="90">
        <v>16863.900000000001</v>
      </c>
      <c r="P40" s="89">
        <v>44776</v>
      </c>
      <c r="Q40" s="224">
        <v>18306.5</v>
      </c>
      <c r="R40" s="225"/>
    </row>
    <row r="41" spans="1:19" x14ac:dyDescent="0.25">
      <c r="A41" s="103">
        <v>44777</v>
      </c>
      <c r="B41" s="90">
        <v>13766.7</v>
      </c>
      <c r="C41" s="90">
        <v>13905.1</v>
      </c>
      <c r="D41" s="90">
        <v>13835.9</v>
      </c>
      <c r="E41" s="51"/>
      <c r="F41" s="103">
        <v>44777</v>
      </c>
      <c r="G41" s="90">
        <v>14012.1</v>
      </c>
      <c r="H41" s="90">
        <v>14147</v>
      </c>
      <c r="I41" s="90">
        <v>14079.55</v>
      </c>
      <c r="J41" s="51"/>
      <c r="K41" s="103">
        <v>44777</v>
      </c>
      <c r="L41" s="90">
        <v>16745.8</v>
      </c>
      <c r="M41" s="90">
        <v>16915.599999999999</v>
      </c>
      <c r="N41" s="90">
        <v>16830.7</v>
      </c>
      <c r="P41" s="89">
        <v>44777</v>
      </c>
      <c r="Q41" s="224">
        <v>18277.3</v>
      </c>
      <c r="R41" s="225"/>
    </row>
    <row r="42" spans="1:19" x14ac:dyDescent="0.25">
      <c r="A42" s="103">
        <v>44778</v>
      </c>
      <c r="B42" s="90">
        <v>13827.4</v>
      </c>
      <c r="C42" s="90">
        <v>13966.4</v>
      </c>
      <c r="D42" s="90">
        <v>13896.9</v>
      </c>
      <c r="E42" s="51"/>
      <c r="F42" s="103">
        <v>44778</v>
      </c>
      <c r="G42" s="90">
        <v>14140.6</v>
      </c>
      <c r="H42" s="90">
        <v>14279.1</v>
      </c>
      <c r="I42" s="90">
        <v>14209.85</v>
      </c>
      <c r="J42" s="51"/>
      <c r="K42" s="103">
        <v>44778</v>
      </c>
      <c r="L42" s="90">
        <v>16792</v>
      </c>
      <c r="M42" s="90">
        <v>16963.599999999999</v>
      </c>
      <c r="N42" s="90">
        <v>16877.8</v>
      </c>
      <c r="P42" s="89">
        <v>44778</v>
      </c>
      <c r="Q42" s="224">
        <v>18348.2</v>
      </c>
      <c r="R42" s="225"/>
    </row>
    <row r="43" spans="1:19" x14ac:dyDescent="0.25">
      <c r="A43" s="103">
        <v>44781</v>
      </c>
      <c r="B43" s="90">
        <v>13887.9</v>
      </c>
      <c r="C43" s="90">
        <v>14027.5</v>
      </c>
      <c r="D43" s="90">
        <v>13957.7</v>
      </c>
      <c r="E43" s="51"/>
      <c r="F43" s="103">
        <v>44781</v>
      </c>
      <c r="G43" s="90">
        <v>14157.1</v>
      </c>
      <c r="H43" s="90">
        <v>14296.9</v>
      </c>
      <c r="I43" s="90">
        <v>14227</v>
      </c>
      <c r="J43" s="51"/>
      <c r="K43" s="103">
        <v>44781</v>
      </c>
      <c r="L43" s="90">
        <v>16797.400000000001</v>
      </c>
      <c r="M43" s="90">
        <v>16971.900000000001</v>
      </c>
      <c r="N43" s="90">
        <v>16884.650000000001</v>
      </c>
      <c r="P43" s="89">
        <v>44781</v>
      </c>
      <c r="Q43" s="224">
        <v>18462.599999999999</v>
      </c>
      <c r="R43" s="225"/>
    </row>
    <row r="44" spans="1:19" x14ac:dyDescent="0.25">
      <c r="A44" s="103">
        <v>44782</v>
      </c>
      <c r="B44" s="90">
        <v>13862.6</v>
      </c>
      <c r="C44" s="90">
        <v>14001.9</v>
      </c>
      <c r="D44" s="90">
        <v>13932.25</v>
      </c>
      <c r="E44" s="51"/>
      <c r="F44" s="103">
        <v>44782</v>
      </c>
      <c r="G44" s="90">
        <v>14176.6</v>
      </c>
      <c r="H44" s="90">
        <v>14314.2</v>
      </c>
      <c r="I44" s="90">
        <v>14245.4</v>
      </c>
      <c r="J44" s="51"/>
      <c r="K44" s="103">
        <v>44782</v>
      </c>
      <c r="L44" s="90">
        <v>16771</v>
      </c>
      <c r="M44" s="90">
        <v>16942.3</v>
      </c>
      <c r="N44" s="90">
        <v>16856.650000000001</v>
      </c>
      <c r="P44" s="89">
        <v>44782</v>
      </c>
      <c r="Q44" s="224">
        <v>18380.3</v>
      </c>
      <c r="R44" s="225"/>
    </row>
    <row r="45" spans="1:19" x14ac:dyDescent="0.25">
      <c r="A45" s="103">
        <v>44783</v>
      </c>
      <c r="B45" s="90">
        <v>13869.7</v>
      </c>
      <c r="C45" s="90">
        <v>14009.1</v>
      </c>
      <c r="D45" s="90">
        <v>13939.4</v>
      </c>
      <c r="E45" s="51"/>
      <c r="F45" s="103">
        <v>44783</v>
      </c>
      <c r="G45" s="90">
        <v>14157.9</v>
      </c>
      <c r="H45" s="90">
        <v>14297.7</v>
      </c>
      <c r="I45" s="90">
        <v>14227.8</v>
      </c>
      <c r="J45" s="51"/>
      <c r="K45" s="103">
        <v>44783</v>
      </c>
      <c r="L45" s="90">
        <v>16760.099999999999</v>
      </c>
      <c r="M45" s="90">
        <v>16934.2</v>
      </c>
      <c r="N45" s="90">
        <v>16847.150000000001</v>
      </c>
      <c r="P45" s="89">
        <v>44783</v>
      </c>
      <c r="Q45" s="224">
        <v>18409.099999999999</v>
      </c>
      <c r="R45" s="225"/>
    </row>
    <row r="46" spans="1:19" x14ac:dyDescent="0.25">
      <c r="A46" s="103">
        <v>44784</v>
      </c>
      <c r="B46" s="90">
        <v>13869.7</v>
      </c>
      <c r="C46" s="90">
        <v>14009.1</v>
      </c>
      <c r="D46" s="90">
        <v>13939.4</v>
      </c>
      <c r="E46" s="51"/>
      <c r="F46" s="103">
        <v>44784</v>
      </c>
      <c r="G46" s="90">
        <v>14340.8</v>
      </c>
      <c r="H46" s="90">
        <v>14478.8</v>
      </c>
      <c r="I46" s="90">
        <v>14409.8</v>
      </c>
      <c r="J46" s="51"/>
      <c r="K46" s="103">
        <v>44784</v>
      </c>
      <c r="L46" s="90">
        <v>16929.400000000001</v>
      </c>
      <c r="M46" s="90">
        <v>17100.900000000001</v>
      </c>
      <c r="N46" s="90">
        <v>17015.150000000001</v>
      </c>
      <c r="P46" s="89">
        <v>44784</v>
      </c>
      <c r="Q46" s="224">
        <v>18416.400000000001</v>
      </c>
      <c r="R46" s="225"/>
    </row>
    <row r="47" spans="1:19" x14ac:dyDescent="0.25">
      <c r="A47" s="103">
        <v>44785</v>
      </c>
      <c r="B47" s="90">
        <v>13866</v>
      </c>
      <c r="C47" s="90">
        <v>14005.4</v>
      </c>
      <c r="D47" s="90">
        <v>13935.7</v>
      </c>
      <c r="E47" s="51"/>
      <c r="F47" s="103">
        <v>44785</v>
      </c>
      <c r="G47" s="90">
        <v>14279.7</v>
      </c>
      <c r="H47" s="90">
        <v>14418.4</v>
      </c>
      <c r="I47" s="90">
        <v>14349.05</v>
      </c>
      <c r="J47" s="51"/>
      <c r="K47" s="103">
        <v>44785</v>
      </c>
      <c r="L47" s="90">
        <v>16845.8</v>
      </c>
      <c r="M47" s="90">
        <v>17016.599999999999</v>
      </c>
      <c r="N47" s="90">
        <v>16931.2</v>
      </c>
      <c r="P47" s="89">
        <v>44785</v>
      </c>
      <c r="Q47" s="224">
        <v>18504.400000000001</v>
      </c>
      <c r="R47" s="225"/>
    </row>
    <row r="48" spans="1:19" x14ac:dyDescent="0.25">
      <c r="A48" s="103">
        <v>44788</v>
      </c>
      <c r="B48" s="90">
        <v>13917.3</v>
      </c>
      <c r="C48" s="90">
        <v>14057.1</v>
      </c>
      <c r="D48" s="90">
        <v>13987.2</v>
      </c>
      <c r="E48" s="51"/>
      <c r="F48" s="103">
        <v>44788</v>
      </c>
      <c r="G48" s="90">
        <v>14203.4</v>
      </c>
      <c r="H48" s="90">
        <v>14344.7</v>
      </c>
      <c r="I48" s="90">
        <v>14274.05</v>
      </c>
      <c r="J48" s="51"/>
      <c r="K48" s="103">
        <v>44788</v>
      </c>
      <c r="L48" s="90">
        <v>16789.8</v>
      </c>
      <c r="M48" s="90">
        <v>16965.5</v>
      </c>
      <c r="N48" s="90">
        <v>16877.650000000001</v>
      </c>
      <c r="P48" s="89">
        <v>44788</v>
      </c>
      <c r="Q48" s="224">
        <v>18526.099999999999</v>
      </c>
      <c r="R48" s="225"/>
    </row>
    <row r="49" spans="1:18" x14ac:dyDescent="0.25">
      <c r="A49" s="103">
        <v>44789</v>
      </c>
      <c r="B49" s="90">
        <v>13864.9</v>
      </c>
      <c r="C49" s="90">
        <v>14004.3</v>
      </c>
      <c r="D49" s="90">
        <v>13934.6</v>
      </c>
      <c r="E49" s="51"/>
      <c r="F49" s="103">
        <v>44789</v>
      </c>
      <c r="G49" s="90">
        <v>14078.8</v>
      </c>
      <c r="H49" s="90">
        <v>14217</v>
      </c>
      <c r="I49" s="90">
        <v>14147.9</v>
      </c>
      <c r="J49" s="51"/>
      <c r="K49" s="103">
        <v>44789</v>
      </c>
      <c r="L49" s="90">
        <v>16697.5</v>
      </c>
      <c r="M49" s="90">
        <v>16869.599999999999</v>
      </c>
      <c r="N49" s="90">
        <v>16783.55</v>
      </c>
      <c r="P49" s="89">
        <v>44789</v>
      </c>
      <c r="Q49" s="224">
        <v>18397.900000000001</v>
      </c>
      <c r="R49" s="225"/>
    </row>
    <row r="50" spans="1:18" x14ac:dyDescent="0.25">
      <c r="A50" s="103">
        <v>44790</v>
      </c>
      <c r="B50" s="90">
        <v>13882.8</v>
      </c>
      <c r="C50" s="90">
        <v>14022.3</v>
      </c>
      <c r="D50" s="90">
        <v>13952.55</v>
      </c>
      <c r="E50" s="51"/>
      <c r="F50" s="103">
        <v>44790</v>
      </c>
      <c r="G50" s="90">
        <v>14106.9</v>
      </c>
      <c r="H50" s="90">
        <v>14247.4</v>
      </c>
      <c r="I50" s="90">
        <v>14177.15</v>
      </c>
      <c r="J50" s="51"/>
      <c r="K50" s="103">
        <v>44790</v>
      </c>
      <c r="L50" s="90">
        <v>16777.400000000001</v>
      </c>
      <c r="M50" s="90">
        <v>16951.599999999999</v>
      </c>
      <c r="N50" s="90">
        <v>16864.5</v>
      </c>
      <c r="P50" s="89">
        <v>44790</v>
      </c>
      <c r="Q50" s="224">
        <v>18358.599999999999</v>
      </c>
      <c r="R50" s="225"/>
    </row>
    <row r="51" spans="1:18" x14ac:dyDescent="0.25">
      <c r="A51" s="103">
        <v>44791</v>
      </c>
      <c r="B51" s="90">
        <v>13907.8</v>
      </c>
      <c r="C51" s="90">
        <v>14047.6</v>
      </c>
      <c r="D51" s="90">
        <v>13977.7</v>
      </c>
      <c r="E51" s="51"/>
      <c r="F51" s="103">
        <v>44791</v>
      </c>
      <c r="G51" s="90">
        <v>14151.1</v>
      </c>
      <c r="H51" s="90">
        <v>14290.9</v>
      </c>
      <c r="I51" s="90">
        <v>14221</v>
      </c>
      <c r="J51" s="51"/>
      <c r="K51" s="103">
        <v>44791</v>
      </c>
      <c r="L51" s="90">
        <v>16743.599999999999</v>
      </c>
      <c r="M51" s="90">
        <v>16917.5</v>
      </c>
      <c r="N51" s="90">
        <v>16830.55</v>
      </c>
      <c r="P51" s="89">
        <v>44791</v>
      </c>
      <c r="Q51" s="224">
        <v>18420.8</v>
      </c>
      <c r="R51" s="225"/>
    </row>
    <row r="52" spans="1:18" x14ac:dyDescent="0.25">
      <c r="A52" s="103">
        <v>44792</v>
      </c>
      <c r="B52" s="90">
        <v>13926.2</v>
      </c>
      <c r="C52" s="90">
        <v>14066.1</v>
      </c>
      <c r="D52" s="90">
        <v>13996.15</v>
      </c>
      <c r="E52" s="51"/>
      <c r="F52" s="103">
        <v>44792</v>
      </c>
      <c r="G52" s="90">
        <v>14043.2</v>
      </c>
      <c r="H52" s="90">
        <v>14181.8</v>
      </c>
      <c r="I52" s="90">
        <v>14112.5</v>
      </c>
      <c r="J52" s="51"/>
      <c r="K52" s="103">
        <v>44792</v>
      </c>
      <c r="L52" s="90">
        <v>16551.3</v>
      </c>
      <c r="M52" s="90">
        <v>16723.2</v>
      </c>
      <c r="N52" s="90">
        <v>16637.25</v>
      </c>
      <c r="P52" s="89">
        <v>44792</v>
      </c>
      <c r="Q52" s="224">
        <v>18432.900000000001</v>
      </c>
      <c r="R52" s="225"/>
    </row>
    <row r="53" spans="1:18" x14ac:dyDescent="0.25">
      <c r="A53" s="103">
        <v>44795</v>
      </c>
      <c r="B53" s="90">
        <v>13979.6</v>
      </c>
      <c r="C53" s="90">
        <v>14120.1</v>
      </c>
      <c r="D53" s="90">
        <v>14049.85</v>
      </c>
      <c r="E53" s="51"/>
      <c r="F53" s="103">
        <v>44795</v>
      </c>
      <c r="G53" s="90">
        <v>13987.9</v>
      </c>
      <c r="H53" s="90">
        <v>14126.1</v>
      </c>
      <c r="I53" s="90">
        <v>14057</v>
      </c>
      <c r="J53" s="51"/>
      <c r="K53" s="103">
        <v>44795</v>
      </c>
      <c r="L53" s="90">
        <v>16493.099999999999</v>
      </c>
      <c r="M53" s="90">
        <v>16664.5</v>
      </c>
      <c r="N53" s="90">
        <v>16578.8</v>
      </c>
      <c r="P53" s="89">
        <v>44795</v>
      </c>
      <c r="Q53" s="224">
        <v>18392.2</v>
      </c>
      <c r="R53" s="225"/>
    </row>
    <row r="54" spans="1:18" x14ac:dyDescent="0.25">
      <c r="A54" s="103">
        <v>44796</v>
      </c>
      <c r="B54" s="90">
        <v>13925.6</v>
      </c>
      <c r="C54" s="90">
        <v>14065.5</v>
      </c>
      <c r="D54" s="90">
        <v>13995.55</v>
      </c>
      <c r="E54" s="51"/>
      <c r="F54" s="103">
        <v>44796</v>
      </c>
      <c r="G54" s="90">
        <v>13835</v>
      </c>
      <c r="H54" s="90">
        <v>13972.9</v>
      </c>
      <c r="I54" s="90">
        <v>13903.95</v>
      </c>
      <c r="J54" s="51"/>
      <c r="K54" s="103">
        <v>44796</v>
      </c>
      <c r="L54" s="90">
        <v>16380.7</v>
      </c>
      <c r="M54" s="90">
        <v>16552.3</v>
      </c>
      <c r="N54" s="90">
        <v>16466.5</v>
      </c>
      <c r="P54" s="89">
        <v>44796</v>
      </c>
      <c r="Q54" s="224">
        <v>18280.599999999999</v>
      </c>
      <c r="R54" s="225"/>
    </row>
    <row r="55" spans="1:18" x14ac:dyDescent="0.25">
      <c r="A55" s="103">
        <v>44797</v>
      </c>
      <c r="B55" s="90">
        <v>13956.3</v>
      </c>
      <c r="C55" s="90">
        <v>14096.5</v>
      </c>
      <c r="D55" s="90">
        <v>14026.4</v>
      </c>
      <c r="E55" s="51"/>
      <c r="F55" s="103">
        <v>44797</v>
      </c>
      <c r="G55" s="90">
        <v>13889.3</v>
      </c>
      <c r="H55" s="90">
        <v>14030.1</v>
      </c>
      <c r="I55" s="90">
        <v>13959.7</v>
      </c>
      <c r="J55" s="51"/>
      <c r="K55" s="103">
        <v>44797</v>
      </c>
      <c r="L55" s="90">
        <v>16497.7</v>
      </c>
      <c r="M55" s="90">
        <v>16673.3</v>
      </c>
      <c r="N55" s="90">
        <v>16585.5</v>
      </c>
      <c r="P55" s="89">
        <v>44797</v>
      </c>
      <c r="Q55" s="224">
        <v>18265.900000000001</v>
      </c>
      <c r="R55" s="225"/>
    </row>
    <row r="56" spans="1:18" x14ac:dyDescent="0.25">
      <c r="A56" s="103">
        <v>44798</v>
      </c>
      <c r="B56" s="90">
        <v>13997.2</v>
      </c>
      <c r="C56" s="90">
        <v>14137.9</v>
      </c>
      <c r="D56" s="90">
        <v>14067.55</v>
      </c>
      <c r="E56" s="51"/>
      <c r="F56" s="103">
        <v>44798</v>
      </c>
      <c r="G56" s="90">
        <v>13994.8</v>
      </c>
      <c r="H56" s="90">
        <v>14136.7</v>
      </c>
      <c r="I56" s="90">
        <v>14065.75</v>
      </c>
      <c r="J56" s="51"/>
      <c r="K56" s="103">
        <v>44798</v>
      </c>
      <c r="L56" s="90">
        <v>16561.5</v>
      </c>
      <c r="M56" s="90">
        <v>16737.900000000001</v>
      </c>
      <c r="N56" s="90">
        <v>16649.7</v>
      </c>
      <c r="P56" s="89">
        <v>44798</v>
      </c>
      <c r="Q56" s="224">
        <v>18319.599999999999</v>
      </c>
      <c r="R56" s="225"/>
    </row>
    <row r="57" spans="1:18" x14ac:dyDescent="0.25">
      <c r="A57" s="103">
        <v>44799</v>
      </c>
      <c r="B57" s="90">
        <v>13983.8</v>
      </c>
      <c r="C57" s="90">
        <v>14124.3</v>
      </c>
      <c r="D57" s="90">
        <v>14054.05</v>
      </c>
      <c r="E57" s="51"/>
      <c r="F57" s="103">
        <v>44799</v>
      </c>
      <c r="G57" s="90">
        <v>13951.8</v>
      </c>
      <c r="H57" s="90">
        <v>14090.8</v>
      </c>
      <c r="I57" s="90">
        <v>14021.3</v>
      </c>
      <c r="J57" s="51"/>
      <c r="K57" s="103">
        <v>44799</v>
      </c>
      <c r="L57" s="90">
        <v>16471.5</v>
      </c>
      <c r="M57" s="90">
        <v>16644.099999999999</v>
      </c>
      <c r="N57" s="90">
        <v>16557.8</v>
      </c>
      <c r="P57" s="89">
        <v>44799</v>
      </c>
      <c r="Q57" s="224">
        <v>18347.400000000001</v>
      </c>
      <c r="R57" s="225"/>
    </row>
    <row r="58" spans="1:18" x14ac:dyDescent="0.25">
      <c r="A58" s="103">
        <v>44802</v>
      </c>
      <c r="B58" s="90">
        <v>14058.4</v>
      </c>
      <c r="C58" s="90">
        <v>14199.7</v>
      </c>
      <c r="D58" s="90">
        <v>14129.05</v>
      </c>
      <c r="E58" s="51"/>
      <c r="F58" s="103">
        <v>44802</v>
      </c>
      <c r="G58" s="90">
        <v>13960.3</v>
      </c>
      <c r="H58" s="90">
        <v>14199.7</v>
      </c>
      <c r="I58" s="90">
        <v>14080</v>
      </c>
      <c r="J58" s="51"/>
      <c r="K58" s="103">
        <v>44802</v>
      </c>
      <c r="L58" s="90">
        <v>16399.099999999999</v>
      </c>
      <c r="M58" s="90">
        <v>16569.599999999999</v>
      </c>
      <c r="N58" s="90">
        <v>16484.349999999999</v>
      </c>
      <c r="P58" s="89">
        <v>44802</v>
      </c>
      <c r="Q58" s="224">
        <v>18459.8</v>
      </c>
      <c r="R58" s="225"/>
    </row>
    <row r="59" spans="1:18" x14ac:dyDescent="0.25">
      <c r="A59" s="103">
        <v>44803</v>
      </c>
      <c r="B59" s="90">
        <v>14059.8</v>
      </c>
      <c r="C59" s="90">
        <v>14201.1</v>
      </c>
      <c r="D59" s="90">
        <v>14130.45</v>
      </c>
      <c r="E59" s="51"/>
      <c r="F59" s="103">
        <v>44803</v>
      </c>
      <c r="G59" s="90">
        <v>14101.8</v>
      </c>
      <c r="H59" s="90">
        <v>14201.1</v>
      </c>
      <c r="I59" s="90">
        <v>14151.45</v>
      </c>
      <c r="J59" s="51"/>
      <c r="K59" s="103">
        <v>44803</v>
      </c>
      <c r="L59" s="90">
        <v>16513.2</v>
      </c>
      <c r="M59" s="90">
        <v>16680.599999999999</v>
      </c>
      <c r="N59" s="90">
        <v>16596.900000000001</v>
      </c>
      <c r="P59" s="89">
        <v>44803</v>
      </c>
      <c r="Q59" s="224">
        <v>18396.599999999999</v>
      </c>
      <c r="R59" s="225"/>
    </row>
    <row r="60" spans="1:18" x14ac:dyDescent="0.25">
      <c r="A60" s="103">
        <v>44804</v>
      </c>
      <c r="B60" s="90">
        <v>14079.6</v>
      </c>
      <c r="C60" s="90">
        <v>14221.1</v>
      </c>
      <c r="D60" s="90">
        <v>14150.35</v>
      </c>
      <c r="E60" s="51"/>
      <c r="F60" s="146">
        <v>44804</v>
      </c>
      <c r="G60" s="90">
        <v>14107.5</v>
      </c>
      <c r="H60" s="90">
        <v>14243.1</v>
      </c>
      <c r="I60" s="90">
        <v>14175.3</v>
      </c>
      <c r="J60" s="51"/>
      <c r="K60" s="146">
        <v>44804</v>
      </c>
      <c r="L60" s="90">
        <v>16401.3</v>
      </c>
      <c r="M60" s="90">
        <v>16567.599999999999</v>
      </c>
      <c r="N60" s="90">
        <v>16484.45</v>
      </c>
      <c r="P60" s="89">
        <v>44804</v>
      </c>
      <c r="Q60" s="224">
        <v>18456.099999999999</v>
      </c>
      <c r="R60" s="225"/>
    </row>
    <row r="61" spans="1:18" ht="21" x14ac:dyDescent="0.25">
      <c r="A61" s="97" t="s">
        <v>6</v>
      </c>
      <c r="B61" s="148">
        <f>AVERAGE(B38:B60)</f>
        <v>13905.604347826084</v>
      </c>
      <c r="C61" s="148">
        <f t="shared" ref="C61:D61" si="0">AVERAGE(C38:C60)</f>
        <v>14045.356521739128</v>
      </c>
      <c r="D61" s="148">
        <f t="shared" si="0"/>
        <v>13975.480434782605</v>
      </c>
      <c r="E61" s="51"/>
      <c r="F61" s="147" t="s">
        <v>67</v>
      </c>
      <c r="G61" s="149">
        <f>AVERAGE(G38:G60)</f>
        <v>14082.939130434781</v>
      </c>
      <c r="H61" s="148">
        <f t="shared" ref="H61:I61" si="1">AVERAGE(H38:H60)</f>
        <v>14224.352173913039</v>
      </c>
      <c r="I61" s="148">
        <f t="shared" si="1"/>
        <v>14153.645652173913</v>
      </c>
      <c r="J61" s="51"/>
      <c r="K61" s="147" t="s">
        <v>69</v>
      </c>
      <c r="L61" s="150">
        <f>AVERAGE(L38:L60)</f>
        <v>16666.886956521739</v>
      </c>
      <c r="M61" s="148">
        <f t="shared" ref="M61" si="2">AVERAGE(M38:M60)</f>
        <v>16839.165217391303</v>
      </c>
      <c r="N61" s="148">
        <f>AVERAGE(N38:N60)</f>
        <v>16753.026086956521</v>
      </c>
      <c r="P61" s="145" t="s">
        <v>6</v>
      </c>
      <c r="Q61" s="226">
        <f>AVERAGE(Q38:R60)</f>
        <v>18385.552173913042</v>
      </c>
      <c r="R61" s="227"/>
    </row>
    <row r="63" spans="1:18" x14ac:dyDescent="0.25">
      <c r="A63" s="45" t="s">
        <v>12</v>
      </c>
      <c r="K63" s="45" t="s">
        <v>12</v>
      </c>
    </row>
    <row r="64" spans="1:18" x14ac:dyDescent="0.25">
      <c r="A64" s="45" t="s">
        <v>13</v>
      </c>
      <c r="K64" s="45" t="s">
        <v>13</v>
      </c>
    </row>
    <row r="65" spans="1:11" x14ac:dyDescent="0.25">
      <c r="A65" s="45" t="s">
        <v>14</v>
      </c>
      <c r="K65" s="45" t="s">
        <v>14</v>
      </c>
    </row>
  </sheetData>
  <mergeCells count="46">
    <mergeCell ref="A1:D1"/>
    <mergeCell ref="A2:A3"/>
    <mergeCell ref="B2:D2"/>
    <mergeCell ref="Q2:Q3"/>
    <mergeCell ref="P2:P3"/>
    <mergeCell ref="K1:N1"/>
    <mergeCell ref="L2:N2"/>
    <mergeCell ref="F2:F3"/>
    <mergeCell ref="G2:I2"/>
    <mergeCell ref="F1:I1"/>
    <mergeCell ref="K2:K3"/>
    <mergeCell ref="A35:D35"/>
    <mergeCell ref="A36:A37"/>
    <mergeCell ref="B36:D36"/>
    <mergeCell ref="F36:F37"/>
    <mergeCell ref="G36:I36"/>
    <mergeCell ref="Q59:R59"/>
    <mergeCell ref="Q60:R60"/>
    <mergeCell ref="Q61:R61"/>
    <mergeCell ref="P36:P37"/>
    <mergeCell ref="Q36:R37"/>
    <mergeCell ref="Q52:R52"/>
    <mergeCell ref="Q53:R53"/>
    <mergeCell ref="Q54:R54"/>
    <mergeCell ref="Q55:R55"/>
    <mergeCell ref="Q56:R56"/>
    <mergeCell ref="Q57:R57"/>
    <mergeCell ref="Q46:R46"/>
    <mergeCell ref="Q47:R47"/>
    <mergeCell ref="Q48:R48"/>
    <mergeCell ref="Q49:R49"/>
    <mergeCell ref="Q50:R50"/>
    <mergeCell ref="F35:I35"/>
    <mergeCell ref="K35:N35"/>
    <mergeCell ref="K36:K37"/>
    <mergeCell ref="L36:N36"/>
    <mergeCell ref="Q58:R58"/>
    <mergeCell ref="Q51:R51"/>
    <mergeCell ref="Q40:R40"/>
    <mergeCell ref="Q41:R41"/>
    <mergeCell ref="Q42:R42"/>
    <mergeCell ref="Q43:R43"/>
    <mergeCell ref="Q44:R44"/>
    <mergeCell ref="Q45:R45"/>
    <mergeCell ref="Q38:R38"/>
    <mergeCell ref="Q39:R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opLeftCell="A47" workbookViewId="0">
      <selection activeCell="E47" sqref="E47"/>
    </sheetView>
  </sheetViews>
  <sheetFormatPr defaultRowHeight="15" x14ac:dyDescent="0.25"/>
  <cols>
    <col min="1" max="1" width="12.28515625" customWidth="1"/>
    <col min="2" max="2" width="13.7109375" customWidth="1"/>
    <col min="3" max="3" width="12.42578125" customWidth="1"/>
    <col min="4" max="4" width="12.85546875" customWidth="1"/>
    <col min="6" max="6" width="12.28515625" customWidth="1"/>
    <col min="7" max="7" width="13.7109375" customWidth="1"/>
    <col min="8" max="8" width="12.42578125" customWidth="1"/>
    <col min="9" max="9" width="12.85546875" customWidth="1"/>
    <col min="11" max="11" width="12.28515625" customWidth="1"/>
    <col min="12" max="12" width="13.7109375" customWidth="1"/>
    <col min="13" max="13" width="12.42578125" customWidth="1"/>
    <col min="14" max="14" width="12.85546875" customWidth="1"/>
    <col min="16" max="16" width="12.28515625" customWidth="1"/>
    <col min="17" max="17" width="13.7109375" customWidth="1"/>
  </cols>
  <sheetData>
    <row r="1" spans="1:17" ht="15.75" thickBot="1" x14ac:dyDescent="0.3">
      <c r="A1" s="155" t="s">
        <v>70</v>
      </c>
      <c r="B1" s="155"/>
      <c r="C1" s="155"/>
      <c r="D1" s="155"/>
      <c r="E1" s="51"/>
      <c r="F1" s="155" t="s">
        <v>70</v>
      </c>
      <c r="G1" s="155"/>
      <c r="H1" s="155"/>
      <c r="I1" s="155"/>
      <c r="J1" s="51"/>
      <c r="K1" s="155" t="s">
        <v>70</v>
      </c>
      <c r="L1" s="155"/>
      <c r="M1" s="155"/>
      <c r="N1" s="155"/>
      <c r="O1" s="47" t="s">
        <v>71</v>
      </c>
      <c r="P1" s="17"/>
      <c r="Q1" s="51"/>
    </row>
    <row r="2" spans="1:17" ht="15.75" thickBot="1" x14ac:dyDescent="0.3">
      <c r="A2" s="151" t="s">
        <v>1</v>
      </c>
      <c r="B2" s="156" t="s">
        <v>2</v>
      </c>
      <c r="C2" s="157"/>
      <c r="D2" s="158"/>
      <c r="E2" s="51"/>
      <c r="F2" s="151" t="s">
        <v>1</v>
      </c>
      <c r="G2" s="156" t="s">
        <v>7</v>
      </c>
      <c r="H2" s="157"/>
      <c r="I2" s="158"/>
      <c r="J2" s="51"/>
      <c r="K2" s="151" t="s">
        <v>1</v>
      </c>
      <c r="L2" s="156" t="s">
        <v>8</v>
      </c>
      <c r="M2" s="157"/>
      <c r="N2" s="158"/>
      <c r="O2" s="51"/>
      <c r="P2" s="151" t="s">
        <v>10</v>
      </c>
      <c r="Q2" s="153" t="s">
        <v>11</v>
      </c>
    </row>
    <row r="3" spans="1:17" ht="15.75" thickBot="1" x14ac:dyDescent="0.3">
      <c r="A3" s="240"/>
      <c r="B3" s="52" t="s">
        <v>3</v>
      </c>
      <c r="C3" s="52" t="s">
        <v>4</v>
      </c>
      <c r="D3" s="52" t="s">
        <v>5</v>
      </c>
      <c r="E3" s="51"/>
      <c r="F3" s="240"/>
      <c r="G3" s="52" t="s">
        <v>3</v>
      </c>
      <c r="H3" s="52" t="s">
        <v>4</v>
      </c>
      <c r="I3" s="52" t="s">
        <v>5</v>
      </c>
      <c r="J3" s="51"/>
      <c r="K3" s="240"/>
      <c r="L3" s="52" t="s">
        <v>3</v>
      </c>
      <c r="M3" s="52" t="s">
        <v>4</v>
      </c>
      <c r="N3" s="52" t="s">
        <v>5</v>
      </c>
      <c r="O3" s="51"/>
      <c r="P3" s="240"/>
      <c r="Q3" s="154"/>
    </row>
    <row r="4" spans="1:17" x14ac:dyDescent="0.25">
      <c r="A4" s="68">
        <v>44805</v>
      </c>
      <c r="B4" s="55">
        <v>14.099399999999999</v>
      </c>
      <c r="C4" s="55">
        <v>14.241099999999999</v>
      </c>
      <c r="D4" s="56">
        <v>14.170199999999999</v>
      </c>
      <c r="E4" s="51"/>
      <c r="F4" s="68">
        <v>44805</v>
      </c>
      <c r="G4" s="13">
        <v>14.1494</v>
      </c>
      <c r="H4" s="13">
        <v>14.291600000000001</v>
      </c>
      <c r="I4" s="56">
        <v>14.220499999999999</v>
      </c>
      <c r="J4" s="51"/>
      <c r="K4" s="68">
        <v>44805</v>
      </c>
      <c r="L4" s="55">
        <v>16.3567</v>
      </c>
      <c r="M4" s="55">
        <v>16.528199999999998</v>
      </c>
      <c r="N4" s="56">
        <v>16.442499999999999</v>
      </c>
      <c r="O4" s="51"/>
      <c r="P4" s="68">
        <v>44805</v>
      </c>
      <c r="Q4" s="56">
        <v>18.441199999999998</v>
      </c>
    </row>
    <row r="5" spans="1:17" x14ac:dyDescent="0.25">
      <c r="A5" s="68">
        <v>44806</v>
      </c>
      <c r="B5" s="57">
        <v>14.1168</v>
      </c>
      <c r="C5" s="57">
        <v>14.258599999999999</v>
      </c>
      <c r="D5" s="58">
        <v>14.1877</v>
      </c>
      <c r="E5" s="51"/>
      <c r="F5" s="68">
        <v>44806</v>
      </c>
      <c r="G5" s="14">
        <v>14.0924</v>
      </c>
      <c r="H5" s="14">
        <v>14.235200000000001</v>
      </c>
      <c r="I5" s="58">
        <v>14.1638</v>
      </c>
      <c r="J5" s="51"/>
      <c r="K5" s="68">
        <v>44806</v>
      </c>
      <c r="L5" s="57">
        <v>16.310600000000001</v>
      </c>
      <c r="M5" s="57">
        <v>16.482900000000001</v>
      </c>
      <c r="N5" s="58">
        <v>16.396699999999999</v>
      </c>
      <c r="O5" s="51"/>
      <c r="P5" s="68">
        <v>44806</v>
      </c>
      <c r="Q5" s="58">
        <v>18.4712</v>
      </c>
    </row>
    <row r="6" spans="1:17" x14ac:dyDescent="0.25">
      <c r="A6" s="68">
        <v>44809</v>
      </c>
      <c r="B6" s="57">
        <v>14.083600000000001</v>
      </c>
      <c r="C6" s="57">
        <v>14.225099999999999</v>
      </c>
      <c r="D6" s="58">
        <v>14.154400000000001</v>
      </c>
      <c r="E6" s="51"/>
      <c r="F6" s="68">
        <v>44809</v>
      </c>
      <c r="G6" s="14">
        <v>13.9777</v>
      </c>
      <c r="H6" s="14">
        <v>14.1157</v>
      </c>
      <c r="I6" s="58">
        <v>14.0467</v>
      </c>
      <c r="J6" s="51"/>
      <c r="K6" s="68">
        <v>44809</v>
      </c>
      <c r="L6" s="57">
        <v>16.1722</v>
      </c>
      <c r="M6" s="57">
        <v>16.340399999999999</v>
      </c>
      <c r="N6" s="58">
        <v>16.2563</v>
      </c>
      <c r="O6" s="51"/>
      <c r="P6" s="68">
        <v>44809</v>
      </c>
      <c r="Q6" s="58">
        <v>18.4038</v>
      </c>
    </row>
    <row r="7" spans="1:17" x14ac:dyDescent="0.25">
      <c r="A7" s="68">
        <v>44810</v>
      </c>
      <c r="B7" s="57">
        <v>14.103899999999999</v>
      </c>
      <c r="C7" s="57">
        <v>14.245699999999999</v>
      </c>
      <c r="D7" s="58">
        <v>14.174799999999999</v>
      </c>
      <c r="E7" s="51"/>
      <c r="F7" s="68">
        <v>44810</v>
      </c>
      <c r="G7" s="14">
        <v>14.0467</v>
      </c>
      <c r="H7" s="14">
        <v>14.1905</v>
      </c>
      <c r="I7" s="58">
        <v>14.118600000000001</v>
      </c>
      <c r="J7" s="51"/>
      <c r="K7" s="68">
        <v>44810</v>
      </c>
      <c r="L7" s="57">
        <v>16.291399999999999</v>
      </c>
      <c r="M7" s="57">
        <v>16.465199999999999</v>
      </c>
      <c r="N7" s="58">
        <v>16.378299999999999</v>
      </c>
      <c r="O7" s="51"/>
      <c r="P7" s="68">
        <v>44810</v>
      </c>
      <c r="Q7" s="58">
        <v>18.430399999999999</v>
      </c>
    </row>
    <row r="8" spans="1:17" x14ac:dyDescent="0.25">
      <c r="A8" s="68">
        <v>44811</v>
      </c>
      <c r="B8" s="57">
        <v>14.227600000000001</v>
      </c>
      <c r="C8" s="57">
        <v>14.3706</v>
      </c>
      <c r="D8" s="58">
        <v>14.299099999999999</v>
      </c>
      <c r="E8" s="51"/>
      <c r="F8" s="68">
        <v>44811</v>
      </c>
      <c r="G8" s="14">
        <v>14.120900000000001</v>
      </c>
      <c r="H8" s="14">
        <v>14.260400000000001</v>
      </c>
      <c r="I8" s="58">
        <v>14.1906</v>
      </c>
      <c r="J8" s="51"/>
      <c r="K8" s="68">
        <v>44811</v>
      </c>
      <c r="L8" s="57">
        <v>16.376000000000001</v>
      </c>
      <c r="M8" s="57">
        <v>16.546299999999999</v>
      </c>
      <c r="N8" s="58">
        <v>16.461099999999998</v>
      </c>
      <c r="O8" s="51"/>
      <c r="P8" s="68">
        <v>44811</v>
      </c>
      <c r="Q8" s="58">
        <v>18.522200000000002</v>
      </c>
    </row>
    <row r="9" spans="1:17" x14ac:dyDescent="0.25">
      <c r="A9" s="68">
        <v>44812</v>
      </c>
      <c r="B9" s="57">
        <v>14.2477</v>
      </c>
      <c r="C9" s="57">
        <v>14.3909</v>
      </c>
      <c r="D9" s="58">
        <v>14.3193</v>
      </c>
      <c r="E9" s="51"/>
      <c r="F9" s="68">
        <v>44812</v>
      </c>
      <c r="G9" s="14">
        <v>14.226599999999999</v>
      </c>
      <c r="H9" s="14">
        <v>14.368399999999999</v>
      </c>
      <c r="I9" s="58">
        <v>14.297499999999999</v>
      </c>
      <c r="J9" s="51"/>
      <c r="K9" s="68">
        <v>44812</v>
      </c>
      <c r="L9" s="57">
        <v>16.366299999999999</v>
      </c>
      <c r="M9" s="57">
        <v>16.538</v>
      </c>
      <c r="N9" s="58">
        <v>16.452200000000001</v>
      </c>
      <c r="O9" s="51"/>
      <c r="P9" s="68">
        <v>44812</v>
      </c>
      <c r="Q9" s="58">
        <v>18.483699999999999</v>
      </c>
    </row>
    <row r="10" spans="1:17" x14ac:dyDescent="0.25">
      <c r="A10" s="68">
        <v>44813</v>
      </c>
      <c r="B10" s="57">
        <v>14.261699999999999</v>
      </c>
      <c r="C10" s="57">
        <v>14.404999999999999</v>
      </c>
      <c r="D10" s="58">
        <v>14.333399999999999</v>
      </c>
      <c r="E10" s="51"/>
      <c r="F10" s="68">
        <v>44813</v>
      </c>
      <c r="G10" s="57">
        <v>14.4078</v>
      </c>
      <c r="H10" s="57">
        <v>14.55</v>
      </c>
      <c r="I10" s="58">
        <v>14.478899999999999</v>
      </c>
      <c r="J10" s="51"/>
      <c r="K10" s="68">
        <v>44813</v>
      </c>
      <c r="L10" s="57">
        <v>16.593499999999999</v>
      </c>
      <c r="M10" s="57">
        <v>16.765999999999998</v>
      </c>
      <c r="N10" s="58">
        <v>16.6797</v>
      </c>
      <c r="O10" s="51"/>
      <c r="P10" s="68">
        <v>44813</v>
      </c>
      <c r="Q10" s="58">
        <v>18.595500000000001</v>
      </c>
    </row>
    <row r="11" spans="1:17" x14ac:dyDescent="0.25">
      <c r="A11" s="68">
        <v>44816</v>
      </c>
      <c r="B11" s="57">
        <v>14.282400000000001</v>
      </c>
      <c r="C11" s="57">
        <v>14.4259</v>
      </c>
      <c r="D11" s="58">
        <v>14.354100000000001</v>
      </c>
      <c r="E11" s="51"/>
      <c r="F11" s="68">
        <v>44816</v>
      </c>
      <c r="G11" s="14">
        <v>14.532299999999999</v>
      </c>
      <c r="H11" s="14">
        <v>14.6732</v>
      </c>
      <c r="I11" s="58">
        <v>14.354100000000001</v>
      </c>
      <c r="J11" s="51"/>
      <c r="K11" s="68">
        <v>44816</v>
      </c>
      <c r="L11" s="57">
        <v>16.694700000000001</v>
      </c>
      <c r="M11" s="57">
        <v>16.863900000000001</v>
      </c>
      <c r="N11" s="58">
        <v>16.779299999999999</v>
      </c>
      <c r="O11" s="51"/>
      <c r="P11" s="68">
        <v>44816</v>
      </c>
      <c r="Q11" s="58">
        <v>18.6951</v>
      </c>
    </row>
    <row r="12" spans="1:17" x14ac:dyDescent="0.25">
      <c r="A12" s="68">
        <v>44817</v>
      </c>
      <c r="B12" s="57">
        <v>14.335699999999999</v>
      </c>
      <c r="C12" s="57">
        <v>14.479799999999999</v>
      </c>
      <c r="D12" s="58">
        <v>14.4078</v>
      </c>
      <c r="E12" s="51"/>
      <c r="F12" s="68">
        <v>44817</v>
      </c>
      <c r="G12" s="14">
        <v>14.5465</v>
      </c>
      <c r="H12" s="14">
        <v>14.690099999999999</v>
      </c>
      <c r="I12" s="58">
        <v>14.6183</v>
      </c>
      <c r="J12" s="51"/>
      <c r="K12" s="68">
        <v>44817</v>
      </c>
      <c r="L12" s="57">
        <v>16.815799999999999</v>
      </c>
      <c r="M12" s="57">
        <v>16.990600000000001</v>
      </c>
      <c r="N12" s="58">
        <v>16.903199999999998</v>
      </c>
      <c r="O12" s="51"/>
      <c r="P12" s="68">
        <v>44817</v>
      </c>
      <c r="Q12" s="58">
        <v>18.799299999999999</v>
      </c>
    </row>
    <row r="13" spans="1:17" x14ac:dyDescent="0.25">
      <c r="A13" s="68">
        <v>44818</v>
      </c>
      <c r="B13" s="57">
        <v>14.4171</v>
      </c>
      <c r="C13" s="57">
        <v>14.561999999999999</v>
      </c>
      <c r="D13" s="58">
        <v>14.489599999999999</v>
      </c>
      <c r="E13" s="51"/>
      <c r="F13" s="68">
        <v>44818</v>
      </c>
      <c r="G13" s="14">
        <v>14.412100000000001</v>
      </c>
      <c r="H13" s="14">
        <v>14.554500000000001</v>
      </c>
      <c r="I13" s="58">
        <v>14.4833</v>
      </c>
      <c r="J13" s="51"/>
      <c r="K13" s="68">
        <v>44818</v>
      </c>
      <c r="L13" s="57">
        <v>16.6374</v>
      </c>
      <c r="M13" s="57">
        <v>16.810400000000001</v>
      </c>
      <c r="N13" s="58">
        <v>16.7239</v>
      </c>
      <c r="O13" s="51"/>
      <c r="P13" s="68">
        <v>44818</v>
      </c>
      <c r="Q13" s="58">
        <v>18.935700000000001</v>
      </c>
    </row>
    <row r="14" spans="1:17" x14ac:dyDescent="0.25">
      <c r="A14" s="68">
        <v>44819</v>
      </c>
      <c r="B14" s="57">
        <v>14.5406</v>
      </c>
      <c r="C14" s="57">
        <v>14.6867</v>
      </c>
      <c r="D14" s="58">
        <v>14.6137</v>
      </c>
      <c r="E14" s="51"/>
      <c r="F14" s="68">
        <v>44819</v>
      </c>
      <c r="G14" s="14">
        <v>14.511699999999999</v>
      </c>
      <c r="H14" s="57">
        <v>14.654999999999999</v>
      </c>
      <c r="I14" s="58">
        <v>14.583299999999999</v>
      </c>
      <c r="J14" s="51"/>
      <c r="K14" s="68">
        <v>44819</v>
      </c>
      <c r="L14" s="57">
        <v>16.7682</v>
      </c>
      <c r="M14" s="57">
        <v>16.942599999999999</v>
      </c>
      <c r="N14" s="58">
        <v>16.855399999999999</v>
      </c>
      <c r="O14" s="51"/>
      <c r="P14" s="68">
        <v>44819</v>
      </c>
      <c r="Q14" s="58">
        <v>18.959099999999999</v>
      </c>
    </row>
    <row r="15" spans="1:17" x14ac:dyDescent="0.25">
      <c r="A15" s="68">
        <v>44820</v>
      </c>
      <c r="B15" s="57">
        <v>14.597300000000001</v>
      </c>
      <c r="C15" s="57">
        <v>14.744</v>
      </c>
      <c r="D15" s="58">
        <v>14.6706</v>
      </c>
      <c r="E15" s="51"/>
      <c r="F15" s="68">
        <v>44820</v>
      </c>
      <c r="G15" s="57">
        <v>14.5436</v>
      </c>
      <c r="H15" s="57">
        <v>14.688499999999999</v>
      </c>
      <c r="I15" s="58">
        <v>14.616</v>
      </c>
      <c r="J15" s="51"/>
      <c r="K15" s="68">
        <v>44820</v>
      </c>
      <c r="L15" s="57">
        <v>16.608799999999999</v>
      </c>
      <c r="M15" s="57">
        <v>16.781600000000001</v>
      </c>
      <c r="N15" s="58">
        <v>16.6952</v>
      </c>
      <c r="O15" s="51"/>
      <c r="P15" s="68">
        <v>44820</v>
      </c>
      <c r="Q15" s="58">
        <v>18.995999999999999</v>
      </c>
    </row>
    <row r="16" spans="1:17" x14ac:dyDescent="0.25">
      <c r="A16" s="68">
        <v>44823</v>
      </c>
      <c r="B16" s="57">
        <v>14.7118</v>
      </c>
      <c r="C16" s="57">
        <v>14.8597</v>
      </c>
      <c r="D16" s="58">
        <v>14.7858</v>
      </c>
      <c r="E16" s="51"/>
      <c r="F16" s="68">
        <v>44823</v>
      </c>
      <c r="G16" s="14">
        <v>14.683400000000001</v>
      </c>
      <c r="H16" s="14">
        <v>14.8284</v>
      </c>
      <c r="I16" s="58">
        <v>14.7559</v>
      </c>
      <c r="J16" s="51"/>
      <c r="K16" s="68">
        <v>44823</v>
      </c>
      <c r="L16" s="57">
        <v>16.746500000000001</v>
      </c>
      <c r="M16" s="57">
        <v>16.9207</v>
      </c>
      <c r="N16" s="58">
        <v>16.833600000000001</v>
      </c>
      <c r="O16" s="51"/>
      <c r="P16" s="68">
        <v>44823</v>
      </c>
      <c r="Q16" s="58">
        <v>19.135200000000001</v>
      </c>
    </row>
    <row r="17" spans="1:17" x14ac:dyDescent="0.25">
      <c r="A17" s="68">
        <v>44824</v>
      </c>
      <c r="B17" s="57">
        <v>14.825100000000001</v>
      </c>
      <c r="C17" s="57">
        <v>14.9741</v>
      </c>
      <c r="D17" s="58">
        <v>14.8996</v>
      </c>
      <c r="E17" s="51"/>
      <c r="F17" s="68">
        <v>44824</v>
      </c>
      <c r="G17" s="14">
        <v>14.838100000000001</v>
      </c>
      <c r="H17" s="57">
        <v>14.985900000000001</v>
      </c>
      <c r="I17" s="58">
        <v>14.912000000000001</v>
      </c>
      <c r="J17" s="51"/>
      <c r="K17" s="68">
        <v>44824</v>
      </c>
      <c r="L17" s="57">
        <v>16.952500000000001</v>
      </c>
      <c r="M17" s="57">
        <v>17.128900000000002</v>
      </c>
      <c r="N17" s="58">
        <v>17.040700000000001</v>
      </c>
      <c r="O17" s="51"/>
      <c r="P17" s="68">
        <v>44824</v>
      </c>
      <c r="Q17" s="58">
        <v>19.282499999999999</v>
      </c>
    </row>
    <row r="18" spans="1:17" x14ac:dyDescent="0.25">
      <c r="A18" s="68">
        <v>44825</v>
      </c>
      <c r="B18" s="57">
        <v>14.870799999999999</v>
      </c>
      <c r="C18" s="57">
        <v>15.020300000000001</v>
      </c>
      <c r="D18" s="58">
        <v>14.945600000000001</v>
      </c>
      <c r="E18" s="51"/>
      <c r="F18" s="68">
        <v>44825</v>
      </c>
      <c r="G18" s="14">
        <v>14.725300000000001</v>
      </c>
      <c r="H18" s="14">
        <v>14.8721</v>
      </c>
      <c r="I18" s="58">
        <v>14.7987</v>
      </c>
      <c r="J18" s="51"/>
      <c r="K18" s="68">
        <v>44825</v>
      </c>
      <c r="L18" s="57">
        <v>16.856100000000001</v>
      </c>
      <c r="M18" s="57">
        <v>17.031500000000001</v>
      </c>
      <c r="N18" s="58">
        <v>16.9438</v>
      </c>
      <c r="O18" s="51"/>
      <c r="P18" s="68">
        <v>44825</v>
      </c>
      <c r="Q18" s="58">
        <v>19.354500000000002</v>
      </c>
    </row>
    <row r="19" spans="1:17" x14ac:dyDescent="0.25">
      <c r="A19" s="68">
        <v>44826</v>
      </c>
      <c r="B19" s="57">
        <v>14.916499999999999</v>
      </c>
      <c r="C19" s="57">
        <v>15.0665</v>
      </c>
      <c r="D19" s="58">
        <v>14.9915</v>
      </c>
      <c r="E19" s="51"/>
      <c r="F19" s="68">
        <v>44826</v>
      </c>
      <c r="G19" s="14">
        <v>14.7172</v>
      </c>
      <c r="H19" s="14">
        <v>14.8612</v>
      </c>
      <c r="I19" s="58">
        <v>14.789199999999999</v>
      </c>
      <c r="J19" s="51"/>
      <c r="K19" s="68">
        <v>44826</v>
      </c>
      <c r="L19" s="57">
        <v>16.845300000000002</v>
      </c>
      <c r="M19" s="57">
        <v>17.017600000000002</v>
      </c>
      <c r="N19" s="58">
        <v>16.9314</v>
      </c>
      <c r="O19" s="51"/>
      <c r="P19" s="68">
        <v>44826</v>
      </c>
      <c r="Q19" s="58">
        <v>19.338899999999999</v>
      </c>
    </row>
    <row r="20" spans="1:17" x14ac:dyDescent="0.25">
      <c r="A20" s="68">
        <v>44827</v>
      </c>
      <c r="B20" s="57">
        <v>15.2075</v>
      </c>
      <c r="C20" s="57">
        <v>15.3604</v>
      </c>
      <c r="D20" s="58">
        <v>15.283899999999999</v>
      </c>
      <c r="E20" s="51"/>
      <c r="F20" s="68">
        <v>44827</v>
      </c>
      <c r="G20" s="57">
        <v>14.8658</v>
      </c>
      <c r="H20" s="57">
        <v>15.013999999999999</v>
      </c>
      <c r="I20" s="58">
        <v>14.9399</v>
      </c>
      <c r="J20" s="51"/>
      <c r="K20" s="68">
        <v>44827</v>
      </c>
      <c r="L20" s="57">
        <v>17.000499999999999</v>
      </c>
      <c r="M20" s="57">
        <v>17.178999999999998</v>
      </c>
      <c r="N20" s="58">
        <v>17.089700000000001</v>
      </c>
      <c r="O20" s="51"/>
      <c r="P20" s="68">
        <v>44827</v>
      </c>
      <c r="Q20" s="58">
        <v>19.688199999999998</v>
      </c>
    </row>
    <row r="21" spans="1:17" x14ac:dyDescent="0.25">
      <c r="A21" s="68">
        <v>44830</v>
      </c>
      <c r="B21" s="57">
        <v>15.096299999999999</v>
      </c>
      <c r="C21" s="57">
        <v>15.247999999999999</v>
      </c>
      <c r="D21" s="58">
        <v>15.1722</v>
      </c>
      <c r="E21" s="51"/>
      <c r="F21" s="68">
        <v>44830</v>
      </c>
      <c r="G21" s="14">
        <v>14.610799999999999</v>
      </c>
      <c r="H21" s="14">
        <v>14.756500000000001</v>
      </c>
      <c r="I21" s="58">
        <v>14.6836</v>
      </c>
      <c r="J21" s="51"/>
      <c r="K21" s="68">
        <v>44830</v>
      </c>
      <c r="L21" s="57">
        <v>16.127400000000002</v>
      </c>
      <c r="M21" s="57">
        <v>16.2956</v>
      </c>
      <c r="N21" s="58">
        <v>16.211500000000001</v>
      </c>
      <c r="O21" s="51"/>
      <c r="P21" s="68">
        <v>44830</v>
      </c>
      <c r="Q21" s="58">
        <v>19.4191</v>
      </c>
    </row>
    <row r="22" spans="1:17" s="51" customFormat="1" x14ac:dyDescent="0.25">
      <c r="A22" s="68">
        <v>44831</v>
      </c>
      <c r="B22" s="57">
        <v>15.1751</v>
      </c>
      <c r="C22" s="57">
        <v>15.3276</v>
      </c>
      <c r="D22" s="58">
        <v>15.251300000000001</v>
      </c>
      <c r="F22" s="68">
        <v>44831</v>
      </c>
      <c r="G22" s="14">
        <v>14.639699999999999</v>
      </c>
      <c r="H22" s="14">
        <v>14.781700000000001</v>
      </c>
      <c r="I22" s="58">
        <v>14.710699999999999</v>
      </c>
      <c r="K22" s="68">
        <v>44831</v>
      </c>
      <c r="L22" s="57">
        <v>16.390599999999999</v>
      </c>
      <c r="M22" s="57">
        <v>16.558399999999999</v>
      </c>
      <c r="N22" s="58">
        <v>16.474499999999999</v>
      </c>
      <c r="P22" s="68">
        <v>44831</v>
      </c>
      <c r="Q22" s="58">
        <v>19.398800000000001</v>
      </c>
    </row>
    <row r="23" spans="1:17" x14ac:dyDescent="0.25">
      <c r="A23" s="68">
        <v>44832</v>
      </c>
      <c r="B23" s="57">
        <v>15.419600000000001</v>
      </c>
      <c r="C23" s="57">
        <v>15.5745</v>
      </c>
      <c r="D23" s="58">
        <v>15.497</v>
      </c>
      <c r="E23" s="51"/>
      <c r="F23" s="68">
        <v>44832</v>
      </c>
      <c r="G23" s="14">
        <v>14.748799999999999</v>
      </c>
      <c r="H23" s="14">
        <v>14.8931</v>
      </c>
      <c r="I23" s="58">
        <v>14.821</v>
      </c>
      <c r="J23" s="51"/>
      <c r="K23" s="68">
        <v>44832</v>
      </c>
      <c r="L23" s="57">
        <v>16.4773</v>
      </c>
      <c r="M23" s="57">
        <v>16.646100000000001</v>
      </c>
      <c r="N23" s="58">
        <v>16.561699999999998</v>
      </c>
      <c r="O23" s="51"/>
      <c r="P23" s="68">
        <v>44832</v>
      </c>
      <c r="Q23" s="58">
        <v>19.711300000000001</v>
      </c>
    </row>
    <row r="24" spans="1:17" s="51" customFormat="1" x14ac:dyDescent="0.25">
      <c r="A24" s="68">
        <v>44833</v>
      </c>
      <c r="B24" s="59">
        <v>15.5426</v>
      </c>
      <c r="C24" s="59">
        <v>15.6988</v>
      </c>
      <c r="D24" s="60">
        <v>15.620699999999999</v>
      </c>
      <c r="F24" s="68">
        <v>44833</v>
      </c>
      <c r="G24" s="15">
        <v>15.0105</v>
      </c>
      <c r="H24" s="15">
        <v>15.158799999999999</v>
      </c>
      <c r="I24" s="60">
        <v>15.0847</v>
      </c>
      <c r="K24" s="68">
        <v>44833</v>
      </c>
      <c r="L24" s="59">
        <v>16.751799999999999</v>
      </c>
      <c r="M24" s="59">
        <v>16.924800000000001</v>
      </c>
      <c r="N24" s="60">
        <v>16.8383</v>
      </c>
      <c r="P24" s="68">
        <v>44833</v>
      </c>
      <c r="Q24" s="60">
        <v>19.788</v>
      </c>
    </row>
    <row r="25" spans="1:17" ht="15.75" thickBot="1" x14ac:dyDescent="0.3">
      <c r="A25" s="68">
        <v>44834</v>
      </c>
      <c r="B25" s="59">
        <v>15.711</v>
      </c>
      <c r="C25" s="59">
        <v>15.8689</v>
      </c>
      <c r="D25" s="60">
        <v>15.79</v>
      </c>
      <c r="E25" s="51"/>
      <c r="F25" s="68">
        <v>44834</v>
      </c>
      <c r="G25" s="15">
        <v>15.459199999999999</v>
      </c>
      <c r="H25" s="15">
        <v>15.6119</v>
      </c>
      <c r="I25" s="60">
        <v>15.535500000000001</v>
      </c>
      <c r="J25" s="51"/>
      <c r="K25" s="68">
        <v>44834</v>
      </c>
      <c r="L25" s="59">
        <v>17.552399999999999</v>
      </c>
      <c r="M25" s="59">
        <v>17.735099999999999</v>
      </c>
      <c r="N25" s="60">
        <v>17.643699999999999</v>
      </c>
      <c r="O25" s="51"/>
      <c r="P25" s="68">
        <v>44834</v>
      </c>
      <c r="Q25" s="60">
        <v>20.145399999999999</v>
      </c>
    </row>
    <row r="26" spans="1:17" ht="15.75" thickBot="1" x14ac:dyDescent="0.3">
      <c r="A26" s="54" t="s">
        <v>6</v>
      </c>
      <c r="B26" s="61">
        <f>AVERAGE(B4:B25)</f>
        <v>14.672277272727273</v>
      </c>
      <c r="C26" s="61">
        <f>AVERAGE(C4:C25)</f>
        <v>14.819736363636364</v>
      </c>
      <c r="D26" s="62">
        <f>AVERAGE(D4:D25)</f>
        <v>14.746013636363637</v>
      </c>
      <c r="E26" s="51"/>
      <c r="F26" s="54" t="s">
        <v>6</v>
      </c>
      <c r="G26" s="61">
        <f>AVERAGE(G4:G25)</f>
        <v>14.539386363636366</v>
      </c>
      <c r="H26" s="61">
        <f>AVERAGE(H4:H25)</f>
        <v>14.68348636363636</v>
      </c>
      <c r="I26" s="62">
        <f>AVERAGE(I4:I25)</f>
        <v>14.600127272727274</v>
      </c>
      <c r="J26" s="51"/>
      <c r="K26" s="54" t="s">
        <v>6</v>
      </c>
      <c r="L26" s="61">
        <f>AVERAGE(L4:L25)</f>
        <v>16.622363636363637</v>
      </c>
      <c r="M26" s="61">
        <f>AVERAGE(M4:M25)</f>
        <v>16.795172727272725</v>
      </c>
      <c r="N26" s="61">
        <f>AVERAGE(N4:N25)</f>
        <v>16.708759090909091</v>
      </c>
      <c r="O26" s="51"/>
      <c r="P26" s="21" t="s">
        <v>6</v>
      </c>
      <c r="Q26" s="62">
        <f>AVERAGE(Q4:Q25)</f>
        <v>19.045231818181819</v>
      </c>
    </row>
    <row r="27" spans="1:17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x14ac:dyDescent="0.25">
      <c r="A28" s="45" t="s">
        <v>12</v>
      </c>
      <c r="B28" s="51"/>
      <c r="C28" s="45"/>
      <c r="D28" s="46"/>
      <c r="E28" s="51"/>
      <c r="F28" s="51"/>
      <c r="G28" s="51"/>
      <c r="H28" s="51"/>
      <c r="I28" s="51"/>
      <c r="J28" s="51"/>
      <c r="K28" s="45" t="s">
        <v>12</v>
      </c>
      <c r="L28" s="45"/>
      <c r="M28" s="51"/>
      <c r="N28" s="51"/>
      <c r="O28" s="51"/>
      <c r="P28" s="51"/>
      <c r="Q28" s="51"/>
    </row>
    <row r="29" spans="1:17" x14ac:dyDescent="0.25">
      <c r="A29" s="45" t="s">
        <v>13</v>
      </c>
      <c r="B29" s="51"/>
      <c r="C29" s="45"/>
      <c r="D29" s="46"/>
      <c r="E29" s="51"/>
      <c r="F29" s="51"/>
      <c r="G29" s="51"/>
      <c r="H29" s="51"/>
      <c r="I29" s="51"/>
      <c r="J29" s="51"/>
      <c r="K29" s="45" t="s">
        <v>13</v>
      </c>
      <c r="L29" s="45"/>
      <c r="M29" s="51"/>
      <c r="N29" s="51"/>
      <c r="O29" s="51"/>
      <c r="P29" s="51"/>
      <c r="Q29" s="51"/>
    </row>
    <row r="30" spans="1:17" x14ac:dyDescent="0.25">
      <c r="A30" s="45" t="s">
        <v>14</v>
      </c>
      <c r="B30" s="51"/>
      <c r="C30" s="45"/>
      <c r="D30" s="46"/>
      <c r="E30" s="51"/>
      <c r="F30" s="51"/>
      <c r="G30" s="51"/>
      <c r="H30" s="51"/>
      <c r="I30" s="51"/>
      <c r="J30" s="51"/>
      <c r="K30" s="45" t="s">
        <v>14</v>
      </c>
      <c r="L30" s="45"/>
      <c r="M30" s="51"/>
      <c r="N30" s="51"/>
      <c r="O30" s="51"/>
      <c r="P30" s="51"/>
      <c r="Q30" s="51"/>
    </row>
    <row r="31" spans="1:17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5.75" thickBot="1" x14ac:dyDescent="0.3">
      <c r="A34" s="155" t="s">
        <v>0</v>
      </c>
      <c r="B34" s="155"/>
      <c r="C34" s="155"/>
      <c r="D34" s="155"/>
      <c r="E34" s="51"/>
      <c r="F34" s="155" t="s">
        <v>0</v>
      </c>
      <c r="G34" s="155"/>
      <c r="H34" s="155"/>
      <c r="I34" s="155"/>
      <c r="J34" s="51"/>
      <c r="K34" s="155" t="s">
        <v>0</v>
      </c>
      <c r="L34" s="155"/>
      <c r="M34" s="155"/>
      <c r="N34" s="155"/>
      <c r="O34" s="47" t="s">
        <v>9</v>
      </c>
      <c r="P34" s="17"/>
      <c r="Q34" s="51"/>
    </row>
    <row r="35" spans="1:17" ht="15.75" thickBot="1" x14ac:dyDescent="0.3">
      <c r="A35" s="151" t="s">
        <v>1</v>
      </c>
      <c r="B35" s="156" t="s">
        <v>2</v>
      </c>
      <c r="C35" s="157"/>
      <c r="D35" s="158"/>
      <c r="E35" s="51"/>
      <c r="F35" s="151" t="s">
        <v>1</v>
      </c>
      <c r="G35" s="156" t="s">
        <v>7</v>
      </c>
      <c r="H35" s="157"/>
      <c r="I35" s="158"/>
      <c r="J35" s="51"/>
      <c r="K35" s="151" t="s">
        <v>1</v>
      </c>
      <c r="L35" s="156" t="s">
        <v>8</v>
      </c>
      <c r="M35" s="157"/>
      <c r="N35" s="158"/>
      <c r="O35" s="51"/>
      <c r="P35" s="151" t="s">
        <v>10</v>
      </c>
      <c r="Q35" s="153" t="s">
        <v>11</v>
      </c>
    </row>
    <row r="36" spans="1:17" ht="15.75" thickBot="1" x14ac:dyDescent="0.3">
      <c r="A36" s="152"/>
      <c r="B36" s="52" t="s">
        <v>3</v>
      </c>
      <c r="C36" s="52" t="s">
        <v>4</v>
      </c>
      <c r="D36" s="52" t="s">
        <v>5</v>
      </c>
      <c r="E36" s="51"/>
      <c r="F36" s="152"/>
      <c r="G36" s="52" t="s">
        <v>3</v>
      </c>
      <c r="H36" s="52" t="s">
        <v>4</v>
      </c>
      <c r="I36" s="52" t="s">
        <v>5</v>
      </c>
      <c r="J36" s="51"/>
      <c r="K36" s="152"/>
      <c r="L36" s="52" t="s">
        <v>3</v>
      </c>
      <c r="M36" s="52" t="s">
        <v>4</v>
      </c>
      <c r="N36" s="52" t="s">
        <v>5</v>
      </c>
      <c r="O36" s="51"/>
      <c r="P36" s="152"/>
      <c r="Q36" s="154"/>
    </row>
    <row r="37" spans="1:17" x14ac:dyDescent="0.25">
      <c r="A37" s="68">
        <v>44805</v>
      </c>
      <c r="B37" s="65">
        <f>14.0994*1000</f>
        <v>14099.4</v>
      </c>
      <c r="C37" s="65">
        <f>14.2411*1000</f>
        <v>14241.099999999999</v>
      </c>
      <c r="D37" s="23">
        <f>14.1702*1000</f>
        <v>14170.199999999999</v>
      </c>
      <c r="E37" s="51"/>
      <c r="F37" s="68">
        <v>44805</v>
      </c>
      <c r="G37" s="30">
        <f>14.1494*1000</f>
        <v>14149.4</v>
      </c>
      <c r="H37" s="30">
        <f>14.2916*1000</f>
        <v>14291.6</v>
      </c>
      <c r="I37" s="31">
        <f>14.2205*1000</f>
        <v>14220.5</v>
      </c>
      <c r="J37" s="51"/>
      <c r="K37" s="68">
        <v>44805</v>
      </c>
      <c r="L37" s="65">
        <f>16.3567*1000</f>
        <v>16356.7</v>
      </c>
      <c r="M37" s="65">
        <f>16.5282*1000</f>
        <v>16528.199999999997</v>
      </c>
      <c r="N37" s="23">
        <f>16.4425*1000</f>
        <v>16442.5</v>
      </c>
      <c r="O37" s="51"/>
      <c r="P37" s="68">
        <v>44805</v>
      </c>
      <c r="Q37" s="23">
        <f>18.4412*1000</f>
        <v>18441.199999999997</v>
      </c>
    </row>
    <row r="38" spans="1:17" x14ac:dyDescent="0.25">
      <c r="A38" s="68">
        <v>44806</v>
      </c>
      <c r="B38" s="64">
        <f>14.1168*1000</f>
        <v>14116.8</v>
      </c>
      <c r="C38" s="64">
        <f>14.2586*1000</f>
        <v>14258.6</v>
      </c>
      <c r="D38" s="25">
        <f>14.1877*1000</f>
        <v>14187.699999999999</v>
      </c>
      <c r="E38" s="51"/>
      <c r="F38" s="68">
        <v>44806</v>
      </c>
      <c r="G38" s="32">
        <f>14.0924*1000</f>
        <v>14092.4</v>
      </c>
      <c r="H38" s="32">
        <f>14.2352*1000</f>
        <v>14235.2</v>
      </c>
      <c r="I38" s="33">
        <f>14.1638*1000</f>
        <v>14163.8</v>
      </c>
      <c r="J38" s="51"/>
      <c r="K38" s="68">
        <v>44806</v>
      </c>
      <c r="L38" s="64">
        <f>16.3106*1000</f>
        <v>16310.6</v>
      </c>
      <c r="M38" s="64">
        <f>16.4829*1000</f>
        <v>16482.900000000001</v>
      </c>
      <c r="N38" s="25">
        <f>16.3967*1000</f>
        <v>16396.7</v>
      </c>
      <c r="O38" s="51"/>
      <c r="P38" s="68">
        <v>44806</v>
      </c>
      <c r="Q38" s="25">
        <f>18.4712*1000</f>
        <v>18471.2</v>
      </c>
    </row>
    <row r="39" spans="1:17" x14ac:dyDescent="0.25">
      <c r="A39" s="68">
        <v>44809</v>
      </c>
      <c r="B39" s="64">
        <f>14.0836*1000</f>
        <v>14083.6</v>
      </c>
      <c r="C39" s="64">
        <f>14.2251*1000</f>
        <v>14225.099999999999</v>
      </c>
      <c r="D39" s="25">
        <f>14.1544*1000</f>
        <v>14154.400000000001</v>
      </c>
      <c r="E39" s="51"/>
      <c r="F39" s="68">
        <v>44809</v>
      </c>
      <c r="G39" s="32">
        <f>13.9777*1000</f>
        <v>13977.7</v>
      </c>
      <c r="H39" s="32">
        <f>14.1157*1000</f>
        <v>14115.7</v>
      </c>
      <c r="I39" s="33">
        <f>14.0467*1000</f>
        <v>14046.699999999999</v>
      </c>
      <c r="J39" s="51"/>
      <c r="K39" s="68">
        <v>44809</v>
      </c>
      <c r="L39" s="64">
        <f>16.1722*1000</f>
        <v>16172.2</v>
      </c>
      <c r="M39" s="64">
        <f>16.3404*1000</f>
        <v>16340.4</v>
      </c>
      <c r="N39" s="25">
        <f>16.2563*1000</f>
        <v>16256.3</v>
      </c>
      <c r="O39" s="51"/>
      <c r="P39" s="68">
        <v>44809</v>
      </c>
      <c r="Q39" s="25">
        <f>18.4038*1000</f>
        <v>18403.8</v>
      </c>
    </row>
    <row r="40" spans="1:17" x14ac:dyDescent="0.25">
      <c r="A40" s="68">
        <v>44810</v>
      </c>
      <c r="B40" s="64">
        <f>14.1039*1000</f>
        <v>14103.9</v>
      </c>
      <c r="C40" s="64">
        <f>14.2457*1000</f>
        <v>14245.699999999999</v>
      </c>
      <c r="D40" s="25">
        <f>14.1748*1000</f>
        <v>14174.8</v>
      </c>
      <c r="E40" s="51"/>
      <c r="F40" s="68">
        <v>44810</v>
      </c>
      <c r="G40" s="32">
        <f>14.0467*1000</f>
        <v>14046.699999999999</v>
      </c>
      <c r="H40" s="32">
        <f>14.1905*1000</f>
        <v>14190.5</v>
      </c>
      <c r="I40" s="33">
        <f>14.1186*1000</f>
        <v>14118.6</v>
      </c>
      <c r="J40" s="51"/>
      <c r="K40" s="68">
        <v>44810</v>
      </c>
      <c r="L40" s="64">
        <f>16.2914*1000</f>
        <v>16291.4</v>
      </c>
      <c r="M40" s="64">
        <f>16.4652*1000</f>
        <v>16465.2</v>
      </c>
      <c r="N40" s="25">
        <f>16.3783*1000</f>
        <v>16378.3</v>
      </c>
      <c r="O40" s="51"/>
      <c r="P40" s="68">
        <v>44810</v>
      </c>
      <c r="Q40" s="25">
        <f>18.4304*1000</f>
        <v>18430.399999999998</v>
      </c>
    </row>
    <row r="41" spans="1:17" x14ac:dyDescent="0.25">
      <c r="A41" s="68">
        <v>44811</v>
      </c>
      <c r="B41" s="64">
        <f>14.2276*1000</f>
        <v>14227.6</v>
      </c>
      <c r="C41" s="64">
        <f>14.3706*1000</f>
        <v>14370.6</v>
      </c>
      <c r="D41" s="25">
        <f>14.2991*1000</f>
        <v>14299.099999999999</v>
      </c>
      <c r="E41" s="51"/>
      <c r="F41" s="68">
        <v>44811</v>
      </c>
      <c r="G41" s="32">
        <f>14.1209*1000</f>
        <v>14120.900000000001</v>
      </c>
      <c r="H41" s="32">
        <f>14.2604*1000</f>
        <v>14260.400000000001</v>
      </c>
      <c r="I41" s="33">
        <f>14.1906*1000</f>
        <v>14190.6</v>
      </c>
      <c r="J41" s="51"/>
      <c r="K41" s="68">
        <v>44811</v>
      </c>
      <c r="L41" s="64">
        <f>16.376*1000</f>
        <v>16376.000000000002</v>
      </c>
      <c r="M41" s="64">
        <f>16.5463*1000</f>
        <v>16546.3</v>
      </c>
      <c r="N41" s="25">
        <f>16.4611*1000</f>
        <v>16461.099999999999</v>
      </c>
      <c r="O41" s="51"/>
      <c r="P41" s="68">
        <v>44811</v>
      </c>
      <c r="Q41" s="25">
        <f>18.5222*1000</f>
        <v>18522.2</v>
      </c>
    </row>
    <row r="42" spans="1:17" x14ac:dyDescent="0.25">
      <c r="A42" s="68">
        <v>44812</v>
      </c>
      <c r="B42" s="64">
        <f>14.2477*1000</f>
        <v>14247.7</v>
      </c>
      <c r="C42" s="64">
        <f>14.3909*1000</f>
        <v>14390.9</v>
      </c>
      <c r="D42" s="25">
        <f>14.3193*1000</f>
        <v>14319.3</v>
      </c>
      <c r="E42" s="51"/>
      <c r="F42" s="68">
        <v>44812</v>
      </c>
      <c r="G42" s="32">
        <f>14.2266*1000</f>
        <v>14226.6</v>
      </c>
      <c r="H42" s="32">
        <f>14.3684*1000</f>
        <v>14368.4</v>
      </c>
      <c r="I42" s="33">
        <f>14.2975*1000</f>
        <v>14297.5</v>
      </c>
      <c r="J42" s="51"/>
      <c r="K42" s="68">
        <v>44812</v>
      </c>
      <c r="L42" s="64">
        <f>16.3663*1000</f>
        <v>16366.3</v>
      </c>
      <c r="M42" s="64">
        <f>16.538*1000</f>
        <v>16538</v>
      </c>
      <c r="N42" s="25">
        <f>16.4522*1000</f>
        <v>16452.2</v>
      </c>
      <c r="O42" s="51"/>
      <c r="P42" s="68">
        <v>44812</v>
      </c>
      <c r="Q42" s="25">
        <f>18.4837*1000</f>
        <v>18483.699999999997</v>
      </c>
    </row>
    <row r="43" spans="1:17" x14ac:dyDescent="0.25">
      <c r="A43" s="68">
        <v>44813</v>
      </c>
      <c r="B43" s="64">
        <f>14.2617*1000</f>
        <v>14261.699999999999</v>
      </c>
      <c r="C43" s="64">
        <f>14.405*1000</f>
        <v>14405</v>
      </c>
      <c r="D43" s="25">
        <f>14.3334*1000</f>
        <v>14333.4</v>
      </c>
      <c r="E43" s="51"/>
      <c r="F43" s="68">
        <v>44813</v>
      </c>
      <c r="G43" s="32">
        <f>14.4078*1000</f>
        <v>14407.8</v>
      </c>
      <c r="H43" s="32">
        <f>14.55*1000</f>
        <v>14550</v>
      </c>
      <c r="I43" s="33">
        <f>14.4789*1000</f>
        <v>14478.9</v>
      </c>
      <c r="J43" s="51"/>
      <c r="K43" s="68">
        <v>44813</v>
      </c>
      <c r="L43" s="64">
        <f>16.5935*1000</f>
        <v>16593.5</v>
      </c>
      <c r="M43" s="64">
        <f>16.766*1000</f>
        <v>16766</v>
      </c>
      <c r="N43" s="25">
        <f>16.6797*1000</f>
        <v>16679.7</v>
      </c>
      <c r="O43" s="51"/>
      <c r="P43" s="68">
        <v>44813</v>
      </c>
      <c r="Q43" s="25">
        <f>18.5955*1000</f>
        <v>18595.5</v>
      </c>
    </row>
    <row r="44" spans="1:17" x14ac:dyDescent="0.25">
      <c r="A44" s="68">
        <v>44816</v>
      </c>
      <c r="B44" s="64">
        <f>14.2824*1000</f>
        <v>14282.400000000001</v>
      </c>
      <c r="C44" s="64">
        <f>14.4259*1000</f>
        <v>14425.9</v>
      </c>
      <c r="D44" s="25">
        <f>14.3541*1000</f>
        <v>14354.1</v>
      </c>
      <c r="E44" s="51"/>
      <c r="F44" s="68">
        <v>44816</v>
      </c>
      <c r="G44" s="32">
        <f>14.5323*1000</f>
        <v>14532.3</v>
      </c>
      <c r="H44" s="32">
        <f>14.6732*1000</f>
        <v>14673.199999999999</v>
      </c>
      <c r="I44" s="33">
        <f>14.6027*1000</f>
        <v>14602.7</v>
      </c>
      <c r="J44" s="51"/>
      <c r="K44" s="68">
        <v>44816</v>
      </c>
      <c r="L44" s="64">
        <f>16.6947*1000</f>
        <v>16694.7</v>
      </c>
      <c r="M44" s="64">
        <f>16.8639*1000</f>
        <v>16863.900000000001</v>
      </c>
      <c r="N44" s="25">
        <f>16.7793*1000</f>
        <v>16779.3</v>
      </c>
      <c r="O44" s="51"/>
      <c r="P44" s="68">
        <v>44816</v>
      </c>
      <c r="Q44" s="25">
        <f>18.6951*1000</f>
        <v>18695.099999999999</v>
      </c>
    </row>
    <row r="45" spans="1:17" x14ac:dyDescent="0.25">
      <c r="A45" s="68">
        <v>44817</v>
      </c>
      <c r="B45" s="64">
        <f>14.3357*1000</f>
        <v>14335.699999999999</v>
      </c>
      <c r="C45" s="64">
        <f>14.4798*1000</f>
        <v>14479.8</v>
      </c>
      <c r="D45" s="25">
        <f>14.4078*1000</f>
        <v>14407.8</v>
      </c>
      <c r="E45" s="51"/>
      <c r="F45" s="68">
        <v>44817</v>
      </c>
      <c r="G45" s="32">
        <f>14.5465*1000</f>
        <v>14546.5</v>
      </c>
      <c r="H45" s="32">
        <f>14.6901*1000</f>
        <v>14690.099999999999</v>
      </c>
      <c r="I45" s="33">
        <f>14.6183*1000</f>
        <v>14618.3</v>
      </c>
      <c r="J45" s="51"/>
      <c r="K45" s="68">
        <v>44817</v>
      </c>
      <c r="L45" s="64">
        <f>16.8158*1000</f>
        <v>16815.8</v>
      </c>
      <c r="M45" s="64">
        <f>16.9906*1000</f>
        <v>16990.600000000002</v>
      </c>
      <c r="N45" s="25">
        <f>16.9032*1000</f>
        <v>16903.199999999997</v>
      </c>
      <c r="O45" s="51"/>
      <c r="P45" s="68">
        <v>44817</v>
      </c>
      <c r="Q45" s="25">
        <f>18.7993*1000</f>
        <v>18799.3</v>
      </c>
    </row>
    <row r="46" spans="1:17" x14ac:dyDescent="0.25">
      <c r="A46" s="68">
        <v>44818</v>
      </c>
      <c r="B46" s="64">
        <f>14.4171*1000</f>
        <v>14417.1</v>
      </c>
      <c r="C46" s="64">
        <f>14.562*1000</f>
        <v>14562</v>
      </c>
      <c r="D46" s="25">
        <f>14.4896*1000</f>
        <v>14489.599999999999</v>
      </c>
      <c r="E46" s="51"/>
      <c r="F46" s="68">
        <v>44818</v>
      </c>
      <c r="G46" s="32">
        <f>14.4121*1000</f>
        <v>14412.1</v>
      </c>
      <c r="H46" s="32">
        <f>14.5545*1000</f>
        <v>14554.5</v>
      </c>
      <c r="I46" s="33">
        <f>14.4833*1000</f>
        <v>14483.3</v>
      </c>
      <c r="J46" s="51"/>
      <c r="K46" s="68">
        <v>44818</v>
      </c>
      <c r="L46" s="64">
        <f>16.6374*1000</f>
        <v>16637.399999999998</v>
      </c>
      <c r="M46" s="64">
        <f>16.8104*1000</f>
        <v>16810.400000000001</v>
      </c>
      <c r="N46" s="25">
        <f>16.7239*1000</f>
        <v>16723.900000000001</v>
      </c>
      <c r="O46" s="51"/>
      <c r="P46" s="68">
        <v>44818</v>
      </c>
      <c r="Q46" s="25">
        <f>18.9357*1000</f>
        <v>18935.7</v>
      </c>
    </row>
    <row r="47" spans="1:17" x14ac:dyDescent="0.25">
      <c r="A47" s="68">
        <v>44819</v>
      </c>
      <c r="B47" s="64">
        <f>14.5406*1000</f>
        <v>14540.6</v>
      </c>
      <c r="C47" s="64">
        <f>14.6867*1000</f>
        <v>14686.7</v>
      </c>
      <c r="D47" s="25">
        <f>14.6137*1000</f>
        <v>14613.699999999999</v>
      </c>
      <c r="E47" s="51"/>
      <c r="F47" s="68">
        <v>44819</v>
      </c>
      <c r="G47" s="32">
        <f>14.5117*1000</f>
        <v>14511.699999999999</v>
      </c>
      <c r="H47" s="32">
        <f>14.655*1000</f>
        <v>14655</v>
      </c>
      <c r="I47" s="33">
        <f>14.6137*1000</f>
        <v>14613.699999999999</v>
      </c>
      <c r="J47" s="51"/>
      <c r="K47" s="68">
        <v>44819</v>
      </c>
      <c r="L47" s="64">
        <f>16.7682*1000</f>
        <v>16768.2</v>
      </c>
      <c r="M47" s="64">
        <f>16.9426*1000</f>
        <v>16942.599999999999</v>
      </c>
      <c r="N47" s="25">
        <f>16.8554*1000</f>
        <v>16855.399999999998</v>
      </c>
      <c r="O47" s="51"/>
      <c r="P47" s="68">
        <v>44819</v>
      </c>
      <c r="Q47" s="25">
        <f>18.9591*1000</f>
        <v>18959.099999999999</v>
      </c>
    </row>
    <row r="48" spans="1:17" x14ac:dyDescent="0.25">
      <c r="A48" s="68">
        <v>44820</v>
      </c>
      <c r="B48" s="64">
        <f>14.5973*1000</f>
        <v>14597.300000000001</v>
      </c>
      <c r="C48" s="64">
        <f>14.744*1000</f>
        <v>14744</v>
      </c>
      <c r="D48" s="25">
        <f>14.6706*1000</f>
        <v>14670.6</v>
      </c>
      <c r="E48" s="51"/>
      <c r="F48" s="68">
        <v>44820</v>
      </c>
      <c r="G48" s="32">
        <f>14.5436*1000</f>
        <v>14543.6</v>
      </c>
      <c r="H48" s="32">
        <f>14.6885*1000</f>
        <v>14688.5</v>
      </c>
      <c r="I48" s="33">
        <f>14.616*1000</f>
        <v>14616</v>
      </c>
      <c r="J48" s="51"/>
      <c r="K48" s="68">
        <v>44820</v>
      </c>
      <c r="L48" s="64">
        <f>16.6088*1000</f>
        <v>16608.8</v>
      </c>
      <c r="M48" s="64">
        <f>16.7816*1000</f>
        <v>16781.600000000002</v>
      </c>
      <c r="N48" s="25">
        <f>16.6952*1000</f>
        <v>16695.2</v>
      </c>
      <c r="O48" s="51"/>
      <c r="P48" s="68">
        <v>44820</v>
      </c>
      <c r="Q48" s="25">
        <f>18.996*1000</f>
        <v>18996</v>
      </c>
    </row>
    <row r="49" spans="1:17" x14ac:dyDescent="0.25">
      <c r="A49" s="68">
        <v>44823</v>
      </c>
      <c r="B49" s="64">
        <f>14.7118*1000</f>
        <v>14711.800000000001</v>
      </c>
      <c r="C49" s="64">
        <f>14.8597*1000</f>
        <v>14859.7</v>
      </c>
      <c r="D49" s="25">
        <f>14.7858*1000</f>
        <v>14785.8</v>
      </c>
      <c r="E49" s="51"/>
      <c r="F49" s="68">
        <v>44823</v>
      </c>
      <c r="G49" s="32">
        <f>14.6834*1000</f>
        <v>14683.400000000001</v>
      </c>
      <c r="H49" s="32">
        <f>14.8284*1000</f>
        <v>14828.4</v>
      </c>
      <c r="I49" s="33">
        <f>14.7559*1000</f>
        <v>14755.9</v>
      </c>
      <c r="J49" s="51"/>
      <c r="K49" s="68">
        <v>44823</v>
      </c>
      <c r="L49" s="64">
        <f>16.7465*1000</f>
        <v>16746.5</v>
      </c>
      <c r="M49" s="64">
        <f>16.9207*1000</f>
        <v>16920.7</v>
      </c>
      <c r="N49" s="25">
        <f>16.8336*1000</f>
        <v>16833.600000000002</v>
      </c>
      <c r="O49" s="51"/>
      <c r="P49" s="68">
        <v>44823</v>
      </c>
      <c r="Q49" s="25">
        <f>19.1352*1000</f>
        <v>19135.2</v>
      </c>
    </row>
    <row r="50" spans="1:17" x14ac:dyDescent="0.25">
      <c r="A50" s="68">
        <v>44824</v>
      </c>
      <c r="B50" s="64">
        <f>14.8251*1000</f>
        <v>14825.1</v>
      </c>
      <c r="C50" s="64">
        <f>14.9741*1000</f>
        <v>14974.1</v>
      </c>
      <c r="D50" s="25">
        <f>14.8996*1000</f>
        <v>14899.6</v>
      </c>
      <c r="E50" s="51"/>
      <c r="F50" s="68">
        <v>44824</v>
      </c>
      <c r="G50" s="32">
        <f>14.8381*1000</f>
        <v>14838.1</v>
      </c>
      <c r="H50" s="32">
        <f>14.9859*1000</f>
        <v>14985.900000000001</v>
      </c>
      <c r="I50" s="33">
        <f>14.912*1000</f>
        <v>14912</v>
      </c>
      <c r="J50" s="51"/>
      <c r="K50" s="68">
        <v>44824</v>
      </c>
      <c r="L50" s="64">
        <f>16.9525*1000</f>
        <v>16952.5</v>
      </c>
      <c r="M50" s="64">
        <f>17.1289*1000</f>
        <v>17128.900000000001</v>
      </c>
      <c r="N50" s="25">
        <f>17.0407*1000</f>
        <v>17040.7</v>
      </c>
      <c r="O50" s="51"/>
      <c r="P50" s="68">
        <v>44824</v>
      </c>
      <c r="Q50" s="25">
        <f>19.2825*1000</f>
        <v>19282.5</v>
      </c>
    </row>
    <row r="51" spans="1:17" x14ac:dyDescent="0.25">
      <c r="A51" s="68">
        <v>44825</v>
      </c>
      <c r="B51" s="64">
        <f>14.8708*1000</f>
        <v>14870.8</v>
      </c>
      <c r="C51" s="64">
        <f>15.0203*1000</f>
        <v>15020.300000000001</v>
      </c>
      <c r="D51" s="25">
        <f>14.9456*1000</f>
        <v>14945.6</v>
      </c>
      <c r="E51" s="51"/>
      <c r="F51" s="68">
        <v>44825</v>
      </c>
      <c r="G51" s="32">
        <f>14.7253*1000</f>
        <v>14725.300000000001</v>
      </c>
      <c r="H51" s="32">
        <f>14.8721*1000</f>
        <v>14872.1</v>
      </c>
      <c r="I51" s="33">
        <f>14.7987*1000</f>
        <v>14798.7</v>
      </c>
      <c r="J51" s="51"/>
      <c r="K51" s="68">
        <v>44825</v>
      </c>
      <c r="L51" s="64">
        <f>16.8561*1000</f>
        <v>16856.100000000002</v>
      </c>
      <c r="M51" s="64">
        <f>17.0315*1000</f>
        <v>17031.5</v>
      </c>
      <c r="N51" s="25">
        <f>16.9438*1000</f>
        <v>16943.8</v>
      </c>
      <c r="O51" s="51"/>
      <c r="P51" s="68">
        <v>44825</v>
      </c>
      <c r="Q51" s="25">
        <f>19.3545*1000</f>
        <v>19354.5</v>
      </c>
    </row>
    <row r="52" spans="1:17" x14ac:dyDescent="0.25">
      <c r="A52" s="68">
        <v>44826</v>
      </c>
      <c r="B52" s="64">
        <f>14.9165*1000</f>
        <v>14916.5</v>
      </c>
      <c r="C52" s="64">
        <f>15.0665*1000</f>
        <v>15066.5</v>
      </c>
      <c r="D52" s="25">
        <f>15.3427*1000</f>
        <v>15342.7</v>
      </c>
      <c r="E52" s="51"/>
      <c r="F52" s="68">
        <v>44826</v>
      </c>
      <c r="G52" s="32">
        <f>14.7172*1000</f>
        <v>14717.2</v>
      </c>
      <c r="H52" s="32">
        <f>14.8612*1000</f>
        <v>14861.2</v>
      </c>
      <c r="I52" s="33">
        <f>14.7892*1000</f>
        <v>14789.199999999999</v>
      </c>
      <c r="J52" s="51"/>
      <c r="K52" s="68">
        <v>44826</v>
      </c>
      <c r="L52" s="64">
        <f>16.8453*1000</f>
        <v>16845.300000000003</v>
      </c>
      <c r="M52" s="64">
        <f>17.0176*1000</f>
        <v>17017.600000000002</v>
      </c>
      <c r="N52" s="25">
        <f>16.9314*1000</f>
        <v>16931.400000000001</v>
      </c>
      <c r="O52" s="51"/>
      <c r="P52" s="68">
        <v>44826</v>
      </c>
      <c r="Q52" s="25">
        <f>19.3389*1000</f>
        <v>19338.899999999998</v>
      </c>
    </row>
    <row r="53" spans="1:17" s="51" customFormat="1" x14ac:dyDescent="0.25">
      <c r="A53" s="68">
        <v>44827</v>
      </c>
      <c r="B53" s="64">
        <f>15.2075*1000</f>
        <v>15207.5</v>
      </c>
      <c r="C53" s="64">
        <f>15.3604*1000</f>
        <v>15360.4</v>
      </c>
      <c r="D53" s="25">
        <f>15.2839*1000</f>
        <v>15283.9</v>
      </c>
      <c r="F53" s="68">
        <v>44827</v>
      </c>
      <c r="G53" s="32">
        <f>14.8658*1000</f>
        <v>14865.8</v>
      </c>
      <c r="H53" s="32">
        <f>15.014*1000</f>
        <v>15014</v>
      </c>
      <c r="I53" s="33">
        <f>14.9399*1000</f>
        <v>14939.9</v>
      </c>
      <c r="K53" s="68">
        <v>44827</v>
      </c>
      <c r="L53" s="64">
        <f>17.0005*1000</f>
        <v>17000.5</v>
      </c>
      <c r="M53" s="64">
        <f>17.179*1000</f>
        <v>17179</v>
      </c>
      <c r="N53" s="25">
        <f>17.0897*1000</f>
        <v>17089.7</v>
      </c>
      <c r="P53" s="68">
        <v>44827</v>
      </c>
      <c r="Q53" s="25">
        <f>19.6882*1000</f>
        <v>19688.199999999997</v>
      </c>
    </row>
    <row r="54" spans="1:17" s="51" customFormat="1" x14ac:dyDescent="0.25">
      <c r="A54" s="68">
        <v>44830</v>
      </c>
      <c r="B54" s="64">
        <f>15.0963*1000</f>
        <v>15096.3</v>
      </c>
      <c r="C54" s="64">
        <f>15.248*1000</f>
        <v>15248</v>
      </c>
      <c r="D54" s="25">
        <f>15.1722*1000</f>
        <v>15172.2</v>
      </c>
      <c r="F54" s="68">
        <v>44830</v>
      </c>
      <c r="G54" s="32">
        <f>14.6108*1000</f>
        <v>14610.8</v>
      </c>
      <c r="H54" s="32">
        <f>14.7565*1000</f>
        <v>14756.5</v>
      </c>
      <c r="I54" s="33">
        <f>14.6836*1000</f>
        <v>14683.6</v>
      </c>
      <c r="K54" s="68">
        <v>44830</v>
      </c>
      <c r="L54" s="64">
        <f>16.1274*1000</f>
        <v>16127.400000000001</v>
      </c>
      <c r="M54" s="64">
        <f>16.2956*1000</f>
        <v>16295.6</v>
      </c>
      <c r="N54" s="25">
        <f>16.2115*1000</f>
        <v>16211.5</v>
      </c>
      <c r="P54" s="68">
        <v>44830</v>
      </c>
      <c r="Q54" s="25">
        <f>19.4191*1000</f>
        <v>19419.099999999999</v>
      </c>
    </row>
    <row r="55" spans="1:17" x14ac:dyDescent="0.25">
      <c r="A55" s="68">
        <v>44831</v>
      </c>
      <c r="B55" s="64">
        <f>15.1751*1000</f>
        <v>15175.1</v>
      </c>
      <c r="C55" s="64">
        <f>15.3276*1000</f>
        <v>15327.6</v>
      </c>
      <c r="D55" s="25">
        <f>15.2513*1000</f>
        <v>15251.300000000001</v>
      </c>
      <c r="E55" s="51"/>
      <c r="F55" s="68">
        <v>44831</v>
      </c>
      <c r="G55" s="32">
        <f>14.6397*1000</f>
        <v>14639.699999999999</v>
      </c>
      <c r="H55" s="32">
        <f>14.7817*1000</f>
        <v>14781.7</v>
      </c>
      <c r="I55" s="33">
        <f>14.7107*1000</f>
        <v>14710.699999999999</v>
      </c>
      <c r="J55" s="51"/>
      <c r="K55" s="68">
        <v>44831</v>
      </c>
      <c r="L55" s="64">
        <f>16.3906*1000</f>
        <v>16390.599999999999</v>
      </c>
      <c r="M55" s="64">
        <f>16.5584*1000</f>
        <v>16558.399999999998</v>
      </c>
      <c r="N55" s="25">
        <f>16.4745*1000</f>
        <v>16474.5</v>
      </c>
      <c r="O55" s="51"/>
      <c r="P55" s="68">
        <v>44831</v>
      </c>
      <c r="Q55" s="25">
        <f>19.3988*1000</f>
        <v>19398.800000000003</v>
      </c>
    </row>
    <row r="56" spans="1:17" x14ac:dyDescent="0.25">
      <c r="A56" s="68">
        <v>44832</v>
      </c>
      <c r="B56" s="64">
        <f>15.4196*1000</f>
        <v>15419.6</v>
      </c>
      <c r="C56" s="64">
        <f>15.5745*1000</f>
        <v>15574.5</v>
      </c>
      <c r="D56" s="25">
        <f>15.497*1000</f>
        <v>15497</v>
      </c>
      <c r="E56" s="51"/>
      <c r="F56" s="68">
        <v>44832</v>
      </c>
      <c r="G56" s="32">
        <f>14.7488*1000</f>
        <v>14748.8</v>
      </c>
      <c r="H56" s="32">
        <f>14.8931*1000</f>
        <v>14893.1</v>
      </c>
      <c r="I56" s="33">
        <f>14.821*1000</f>
        <v>14821</v>
      </c>
      <c r="J56" s="51"/>
      <c r="K56" s="68">
        <v>44832</v>
      </c>
      <c r="L56" s="64">
        <f>16.4773*1000</f>
        <v>16477.3</v>
      </c>
      <c r="M56" s="64">
        <f>16.6461*1000</f>
        <v>16646.100000000002</v>
      </c>
      <c r="N56" s="25">
        <f>16.5617*1000</f>
        <v>16561.699999999997</v>
      </c>
      <c r="O56" s="51"/>
      <c r="P56" s="68">
        <v>44832</v>
      </c>
      <c r="Q56" s="25">
        <f>19.7113*1000</f>
        <v>19711.300000000003</v>
      </c>
    </row>
    <row r="57" spans="1:17" x14ac:dyDescent="0.25">
      <c r="A57" s="68">
        <v>44833</v>
      </c>
      <c r="B57" s="64">
        <f>15.5426*1000</f>
        <v>15542.6</v>
      </c>
      <c r="C57" s="64">
        <f>15.6988*1000</f>
        <v>15698.800000000001</v>
      </c>
      <c r="D57" s="25">
        <f>15.6207*1000</f>
        <v>15620.699999999999</v>
      </c>
      <c r="E57" s="51"/>
      <c r="F57" s="68">
        <v>44833</v>
      </c>
      <c r="G57" s="32">
        <f>15.0105*1000</f>
        <v>15010.5</v>
      </c>
      <c r="H57" s="32">
        <f>15.1588*1000</f>
        <v>15158.8</v>
      </c>
      <c r="I57" s="33">
        <f>15.0847*1000</f>
        <v>15084.699999999999</v>
      </c>
      <c r="J57" s="51"/>
      <c r="K57" s="68">
        <v>44833</v>
      </c>
      <c r="L57" s="64">
        <f>16.7518*1000</f>
        <v>16751.8</v>
      </c>
      <c r="M57" s="64">
        <f>16.9248*1000</f>
        <v>16924.800000000003</v>
      </c>
      <c r="N57" s="25">
        <f>16.8383*1000</f>
        <v>16838.3</v>
      </c>
      <c r="O57" s="51"/>
      <c r="P57" s="68">
        <v>44833</v>
      </c>
      <c r="Q57" s="25">
        <f>19.788*1000</f>
        <v>19788</v>
      </c>
    </row>
    <row r="58" spans="1:17" ht="15.75" thickBot="1" x14ac:dyDescent="0.3">
      <c r="A58" s="68">
        <v>44834</v>
      </c>
      <c r="B58" s="67">
        <f>15.711*1000</f>
        <v>15711</v>
      </c>
      <c r="C58" s="67">
        <f>15.8689*1000</f>
        <v>15868.9</v>
      </c>
      <c r="D58" s="27">
        <f>15.79*1000</f>
        <v>15790</v>
      </c>
      <c r="E58" s="51"/>
      <c r="F58" s="68">
        <v>44834</v>
      </c>
      <c r="G58" s="34">
        <f>15.4592*1000</f>
        <v>15459.199999999999</v>
      </c>
      <c r="H58" s="34">
        <f>15.6119*1000</f>
        <v>15611.9</v>
      </c>
      <c r="I58" s="35">
        <f>15.5355*1000</f>
        <v>15535.5</v>
      </c>
      <c r="J58" s="51"/>
      <c r="K58" s="68">
        <v>44834</v>
      </c>
      <c r="L58" s="37">
        <f>17.5524*1000</f>
        <v>17552.399999999998</v>
      </c>
      <c r="M58" s="37">
        <f>17.7351*1000</f>
        <v>17735.099999999999</v>
      </c>
      <c r="N58" s="38">
        <f>17.6437*1000</f>
        <v>17643.7</v>
      </c>
      <c r="O58" s="51"/>
      <c r="P58" s="68">
        <v>44834</v>
      </c>
      <c r="Q58" s="38">
        <f>20.1454*1000</f>
        <v>20145.399999999998</v>
      </c>
    </row>
    <row r="59" spans="1:17" ht="15.75" thickBot="1" x14ac:dyDescent="0.3">
      <c r="A59" s="54" t="s">
        <v>6</v>
      </c>
      <c r="B59" s="66">
        <f>AVERAGE(B37:B58)</f>
        <v>14672.27727272727</v>
      </c>
      <c r="C59" s="66">
        <f>AVERAGE(C37:C58)</f>
        <v>14819.736363636364</v>
      </c>
      <c r="D59" s="63">
        <f>AVERAGE(D37:D58)</f>
        <v>14761.977272727276</v>
      </c>
      <c r="E59" s="51"/>
      <c r="F59" s="54" t="s">
        <v>6</v>
      </c>
      <c r="G59" s="66">
        <f>AVERAGE(G37:G58)</f>
        <v>14539.386363636364</v>
      </c>
      <c r="H59" s="66">
        <f>AVERAGE(H37:H58)</f>
        <v>14683.486363636361</v>
      </c>
      <c r="I59" s="66">
        <f>AVERAGE(I37:I58)</f>
        <v>14612.809090909093</v>
      </c>
      <c r="J59" s="51"/>
      <c r="K59" s="39" t="s">
        <v>6</v>
      </c>
      <c r="L59" s="40">
        <f>AVERAGE(L37:L58)</f>
        <v>16622.363636363636</v>
      </c>
      <c r="M59" s="41">
        <f>AVERAGE(M37:M58)</f>
        <v>16795.172727272726</v>
      </c>
      <c r="N59" s="42">
        <f>AVERAGE(N37:N58)</f>
        <v>16708.75909090909</v>
      </c>
      <c r="O59" s="51"/>
      <c r="P59" s="43" t="s">
        <v>6</v>
      </c>
      <c r="Q59" s="44">
        <f>AVERAGE(Q37:Q58)</f>
        <v>19045.231818181819</v>
      </c>
    </row>
    <row r="60" spans="1:17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x14ac:dyDescent="0.25">
      <c r="A61" s="45" t="s">
        <v>12</v>
      </c>
      <c r="B61" s="51"/>
      <c r="C61" s="45"/>
      <c r="D61" s="51"/>
      <c r="E61" s="51"/>
      <c r="F61" s="51"/>
      <c r="G61" s="51"/>
      <c r="H61" s="51"/>
      <c r="I61" s="51"/>
      <c r="J61" s="51"/>
      <c r="K61" s="45" t="s">
        <v>12</v>
      </c>
      <c r="L61" s="45"/>
      <c r="M61" s="51"/>
      <c r="N61" s="51"/>
      <c r="O61" s="51"/>
      <c r="P61" s="51"/>
      <c r="Q61" s="51"/>
    </row>
    <row r="62" spans="1:17" x14ac:dyDescent="0.25">
      <c r="A62" s="45" t="s">
        <v>13</v>
      </c>
      <c r="B62" s="51"/>
      <c r="C62" s="45"/>
      <c r="D62" s="51"/>
      <c r="E62" s="51"/>
      <c r="F62" s="51"/>
      <c r="G62" s="51"/>
      <c r="H62" s="51"/>
      <c r="I62" s="51"/>
      <c r="J62" s="51"/>
      <c r="K62" s="45" t="s">
        <v>13</v>
      </c>
      <c r="L62" s="45"/>
      <c r="M62" s="51"/>
      <c r="N62" s="51"/>
      <c r="O62" s="51"/>
      <c r="P62" s="51"/>
      <c r="Q62" s="51"/>
    </row>
    <row r="63" spans="1:17" x14ac:dyDescent="0.25">
      <c r="A63" s="45" t="s">
        <v>14</v>
      </c>
      <c r="B63" s="51"/>
      <c r="C63" s="45"/>
      <c r="D63" s="51"/>
      <c r="E63" s="51"/>
      <c r="F63" s="51"/>
      <c r="G63" s="51"/>
      <c r="H63" s="51"/>
      <c r="I63" s="51"/>
      <c r="J63" s="51"/>
      <c r="K63" s="45" t="s">
        <v>14</v>
      </c>
      <c r="L63" s="45"/>
      <c r="M63" s="51"/>
      <c r="N63" s="51"/>
      <c r="O63" s="51"/>
      <c r="P63" s="51"/>
      <c r="Q63" s="51"/>
    </row>
  </sheetData>
  <mergeCells count="22">
    <mergeCell ref="A1:D1"/>
    <mergeCell ref="F1:I1"/>
    <mergeCell ref="K1:N1"/>
    <mergeCell ref="A2:A3"/>
    <mergeCell ref="B2:D2"/>
    <mergeCell ref="F2:F3"/>
    <mergeCell ref="G2:I2"/>
    <mergeCell ref="K2:K3"/>
    <mergeCell ref="L2:N2"/>
    <mergeCell ref="A34:D34"/>
    <mergeCell ref="F34:I34"/>
    <mergeCell ref="K34:N34"/>
    <mergeCell ref="A35:A36"/>
    <mergeCell ref="B35:D35"/>
    <mergeCell ref="F35:F36"/>
    <mergeCell ref="G35:I35"/>
    <mergeCell ref="K35:K36"/>
    <mergeCell ref="L35:N35"/>
    <mergeCell ref="P35:P36"/>
    <mergeCell ref="Q35:Q36"/>
    <mergeCell ref="P2:P3"/>
    <mergeCell ref="Q2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JAN_22</vt:lpstr>
      <vt:lpstr>FEB_22</vt:lpstr>
      <vt:lpstr>MAR_22</vt:lpstr>
      <vt:lpstr>APR_22</vt:lpstr>
      <vt:lpstr>MAY_22</vt:lpstr>
      <vt:lpstr>JUN_22</vt:lpstr>
      <vt:lpstr>JUL_22</vt:lpstr>
      <vt:lpstr>AUG_22</vt:lpstr>
      <vt:lpstr>SEPT_22</vt:lpstr>
      <vt:lpstr>OCT_22</vt:lpstr>
      <vt:lpstr>NOV_22</vt:lpstr>
      <vt:lpstr>DEC_22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 S. P.. Coker</dc:creator>
  <cp:lastModifiedBy>Ibrahim W. Sesay</cp:lastModifiedBy>
  <dcterms:created xsi:type="dcterms:W3CDTF">2022-11-01T08:54:04Z</dcterms:created>
  <dcterms:modified xsi:type="dcterms:W3CDTF">2023-06-01T18:29:28Z</dcterms:modified>
</cp:coreProperties>
</file>